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dfearn\Desktop\"/>
    </mc:Choice>
  </mc:AlternateContent>
  <bookViews>
    <workbookView xWindow="0" yWindow="0" windowWidth="22890" windowHeight="11325"/>
  </bookViews>
  <sheets>
    <sheet name="Deferred Pay Calc" sheetId="1" r:id="rId1"/>
    <sheet name="Estimated Net Pay Calculation" sheetId="2" r:id="rId2"/>
    <sheet name="S T Current" sheetId="7" state="hidden" r:id="rId3"/>
    <sheet name="S T Current DBL" sheetId="11" state="hidden" r:id="rId4"/>
    <sheet name="S T DP Acc" sheetId="4" state="hidden" r:id="rId5"/>
    <sheet name="S T DP Out" sheetId="6" state="hidden" r:id="rId6"/>
    <sheet name="M T Current" sheetId="8" state="hidden" r:id="rId7"/>
    <sheet name="M T Current DBL" sheetId="12" state="hidden" r:id="rId8"/>
    <sheet name="M T DP Acc" sheetId="9" state="hidden" r:id="rId9"/>
    <sheet name="M T DP Out" sheetId="10" state="hidden" r:id="rId10"/>
    <sheet name="M T Current 2" sheetId="5" state="hidden" r:id="rId11"/>
  </sheets>
  <definedNames>
    <definedName name="_xlnm.Print_Area" localSheetId="6">'M T Current'!$A$1:$K$35</definedName>
    <definedName name="_xlnm.Print_Area" localSheetId="10">'M T Current 2'!$A$1:$K$35</definedName>
    <definedName name="_xlnm.Print_Area" localSheetId="7">'M T Current DBL'!$A$1:$K$35</definedName>
    <definedName name="_xlnm.Print_Area" localSheetId="8">'M T DP Acc'!$A$1:$K$35</definedName>
    <definedName name="_xlnm.Print_Area" localSheetId="9">'M T DP Out'!$A$1:$K$35</definedName>
    <definedName name="_xlnm.Print_Area" localSheetId="2">'S T Current'!$A$1:$K$35</definedName>
    <definedName name="_xlnm.Print_Area" localSheetId="3">'S T Current DBL'!$A$1:$K$35</definedName>
    <definedName name="_xlnm.Print_Area" localSheetId="4">'S T DP Acc'!$A$1:$K$35</definedName>
    <definedName name="_xlnm.Print_Area" localSheetId="5">'S T DP Out'!$A$1:$K$35</definedName>
  </definedNames>
  <calcPr calcId="162913"/>
</workbook>
</file>

<file path=xl/calcChain.xml><?xml version="1.0" encoding="utf-8"?>
<calcChain xmlns="http://schemas.openxmlformats.org/spreadsheetml/2006/main">
  <c r="A1" i="6" l="1"/>
  <c r="A1" i="4"/>
  <c r="A1" i="11"/>
  <c r="A1" i="5"/>
  <c r="A1" i="10"/>
  <c r="A1" i="9"/>
  <c r="A1" i="12"/>
  <c r="B43" i="5"/>
  <c r="B43" i="10"/>
  <c r="B43" i="9"/>
  <c r="B43" i="12"/>
  <c r="G55" i="8"/>
  <c r="G56" i="8"/>
  <c r="G57" i="8"/>
  <c r="G58" i="8"/>
  <c r="G59" i="8"/>
  <c r="G54" i="8"/>
  <c r="D55" i="8"/>
  <c r="D56" i="8"/>
  <c r="D57" i="8"/>
  <c r="D58" i="8"/>
  <c r="D59" i="8"/>
  <c r="D54" i="8"/>
  <c r="C55" i="8"/>
  <c r="C56" i="8"/>
  <c r="C57" i="8"/>
  <c r="C58" i="8"/>
  <c r="C59" i="8"/>
  <c r="C54" i="8"/>
  <c r="B55" i="8"/>
  <c r="B56" i="8"/>
  <c r="B57" i="8"/>
  <c r="B58" i="8"/>
  <c r="B59" i="8"/>
  <c r="B54" i="8"/>
  <c r="C47" i="8"/>
  <c r="C48" i="8"/>
  <c r="C49" i="8"/>
  <c r="C50" i="8"/>
  <c r="C46" i="8"/>
  <c r="G55" i="6"/>
  <c r="G56" i="6"/>
  <c r="G57" i="6"/>
  <c r="G58" i="6"/>
  <c r="G59" i="6"/>
  <c r="G54" i="6"/>
  <c r="B43" i="6"/>
  <c r="B43" i="4"/>
  <c r="B43" i="11"/>
  <c r="G55" i="4"/>
  <c r="G56" i="4"/>
  <c r="G57" i="4"/>
  <c r="G58" i="4"/>
  <c r="G59" i="4"/>
  <c r="G54" i="4"/>
  <c r="G55" i="7"/>
  <c r="G56" i="7"/>
  <c r="G57" i="7"/>
  <c r="G58" i="7"/>
  <c r="G59" i="7"/>
  <c r="G54" i="7"/>
  <c r="G46" i="7"/>
  <c r="C47" i="7"/>
  <c r="C48" i="7"/>
  <c r="C49" i="7"/>
  <c r="C50" i="7"/>
  <c r="C46" i="7"/>
  <c r="D29" i="2" l="1"/>
  <c r="D30" i="2"/>
  <c r="J8" i="6"/>
  <c r="J8" i="10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46" i="5"/>
  <c r="G46" i="5" s="1"/>
  <c r="G54" i="5" s="1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4" i="10"/>
  <c r="C54" i="10"/>
  <c r="D54" i="10"/>
  <c r="B55" i="10"/>
  <c r="C55" i="10"/>
  <c r="D55" i="10"/>
  <c r="B56" i="10"/>
  <c r="C56" i="10"/>
  <c r="D56" i="10"/>
  <c r="B57" i="10"/>
  <c r="C57" i="10"/>
  <c r="D57" i="10"/>
  <c r="B58" i="10"/>
  <c r="C58" i="10"/>
  <c r="D58" i="10"/>
  <c r="B59" i="10"/>
  <c r="C59" i="10"/>
  <c r="D59" i="10"/>
  <c r="B46" i="10"/>
  <c r="G46" i="10" s="1"/>
  <c r="G54" i="10" s="1"/>
  <c r="C46" i="10"/>
  <c r="D46" i="10"/>
  <c r="B47" i="10"/>
  <c r="C47" i="10"/>
  <c r="D47" i="10"/>
  <c r="B48" i="10"/>
  <c r="C48" i="10"/>
  <c r="D48" i="10"/>
  <c r="B49" i="10"/>
  <c r="C49" i="10"/>
  <c r="D49" i="10"/>
  <c r="B50" i="10"/>
  <c r="C50" i="10"/>
  <c r="D50" i="10"/>
  <c r="B51" i="10"/>
  <c r="C51" i="10"/>
  <c r="D51" i="10"/>
  <c r="B54" i="9"/>
  <c r="C54" i="9"/>
  <c r="D54" i="9"/>
  <c r="B55" i="9"/>
  <c r="C55" i="9"/>
  <c r="D55" i="9"/>
  <c r="B56" i="9"/>
  <c r="C56" i="9"/>
  <c r="D56" i="9"/>
  <c r="B57" i="9"/>
  <c r="C57" i="9"/>
  <c r="D57" i="9"/>
  <c r="B58" i="9"/>
  <c r="C58" i="9"/>
  <c r="D58" i="9"/>
  <c r="B59" i="9"/>
  <c r="C59" i="9"/>
  <c r="D59" i="9"/>
  <c r="B46" i="9"/>
  <c r="G46" i="9" s="1"/>
  <c r="G54" i="9" s="1"/>
  <c r="C46" i="9"/>
  <c r="D46" i="9"/>
  <c r="B47" i="9"/>
  <c r="C47" i="9"/>
  <c r="D47" i="9"/>
  <c r="B48" i="9"/>
  <c r="C48" i="9"/>
  <c r="D48" i="9"/>
  <c r="B49" i="9"/>
  <c r="C49" i="9"/>
  <c r="D49" i="9"/>
  <c r="B50" i="9"/>
  <c r="C50" i="9"/>
  <c r="D50" i="9"/>
  <c r="B51" i="9"/>
  <c r="C51" i="9"/>
  <c r="D51" i="9"/>
  <c r="B54" i="12"/>
  <c r="C54" i="12"/>
  <c r="D54" i="12"/>
  <c r="B55" i="12"/>
  <c r="C55" i="12"/>
  <c r="D55" i="12"/>
  <c r="B56" i="12"/>
  <c r="C56" i="12"/>
  <c r="D56" i="12"/>
  <c r="B57" i="12"/>
  <c r="C57" i="12"/>
  <c r="D57" i="12"/>
  <c r="B58" i="12"/>
  <c r="C58" i="12"/>
  <c r="D58" i="12"/>
  <c r="B59" i="12"/>
  <c r="C59" i="12"/>
  <c r="D59" i="12"/>
  <c r="B46" i="12"/>
  <c r="G46" i="12" s="1"/>
  <c r="G54" i="12" s="1"/>
  <c r="C46" i="12"/>
  <c r="D46" i="12"/>
  <c r="B47" i="12"/>
  <c r="C47" i="12"/>
  <c r="D47" i="12"/>
  <c r="B48" i="12"/>
  <c r="C48" i="12"/>
  <c r="D48" i="12"/>
  <c r="B49" i="12"/>
  <c r="C49" i="12"/>
  <c r="D49" i="12"/>
  <c r="B50" i="12"/>
  <c r="C50" i="12"/>
  <c r="D50" i="12"/>
  <c r="B51" i="12"/>
  <c r="C51" i="12"/>
  <c r="D51" i="12"/>
  <c r="G46" i="8"/>
  <c r="C55" i="6"/>
  <c r="D55" i="6"/>
  <c r="B58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46" i="4"/>
  <c r="C46" i="4"/>
  <c r="D46" i="4"/>
  <c r="B47" i="4"/>
  <c r="C47" i="4"/>
  <c r="D47" i="4"/>
  <c r="B48" i="4"/>
  <c r="C48" i="4"/>
  <c r="D48" i="4"/>
  <c r="B49" i="4"/>
  <c r="C49" i="4"/>
  <c r="D49" i="4"/>
  <c r="B50" i="4"/>
  <c r="C50" i="4"/>
  <c r="D50" i="4"/>
  <c r="B51" i="4"/>
  <c r="C51" i="4"/>
  <c r="D51" i="4"/>
  <c r="B56" i="4"/>
  <c r="C58" i="4"/>
  <c r="B59" i="4"/>
  <c r="C55" i="11"/>
  <c r="D57" i="11"/>
  <c r="B59" i="11"/>
  <c r="B46" i="11"/>
  <c r="C46" i="11"/>
  <c r="D46" i="11"/>
  <c r="B47" i="11"/>
  <c r="C47" i="11"/>
  <c r="D47" i="11"/>
  <c r="B48" i="11"/>
  <c r="C48" i="11"/>
  <c r="D48" i="11"/>
  <c r="B49" i="11"/>
  <c r="C49" i="11"/>
  <c r="D49" i="11"/>
  <c r="B50" i="11"/>
  <c r="C50" i="11"/>
  <c r="D50" i="11"/>
  <c r="B51" i="11"/>
  <c r="C51" i="11"/>
  <c r="D51" i="11"/>
  <c r="D59" i="7"/>
  <c r="D59" i="6" s="1"/>
  <c r="C59" i="7"/>
  <c r="C59" i="4" s="1"/>
  <c r="B59" i="7"/>
  <c r="A10" i="7" s="1"/>
  <c r="D58" i="7"/>
  <c r="D58" i="6" s="1"/>
  <c r="C58" i="7"/>
  <c r="B9" i="7" s="1"/>
  <c r="B58" i="7"/>
  <c r="A9" i="7" s="1"/>
  <c r="D57" i="7"/>
  <c r="D57" i="6" s="1"/>
  <c r="C57" i="7"/>
  <c r="C57" i="4" s="1"/>
  <c r="B57" i="7"/>
  <c r="A8" i="7" s="1"/>
  <c r="D56" i="7"/>
  <c r="D56" i="4" s="1"/>
  <c r="C56" i="7"/>
  <c r="C56" i="6" s="1"/>
  <c r="B56" i="7"/>
  <c r="B56" i="6" s="1"/>
  <c r="D55" i="7"/>
  <c r="D55" i="11" s="1"/>
  <c r="C55" i="7"/>
  <c r="B6" i="7" s="1"/>
  <c r="B55" i="7"/>
  <c r="B55" i="11" s="1"/>
  <c r="D54" i="7"/>
  <c r="D54" i="4" s="1"/>
  <c r="C54" i="7"/>
  <c r="C54" i="4" s="1"/>
  <c r="B54" i="7"/>
  <c r="B54" i="4" s="1"/>
  <c r="D55" i="4" l="1"/>
  <c r="D58" i="4"/>
  <c r="D57" i="4"/>
  <c r="C56" i="11"/>
  <c r="B7" i="7"/>
  <c r="C58" i="11"/>
  <c r="C58" i="6"/>
  <c r="C56" i="4"/>
  <c r="B5" i="7"/>
  <c r="B55" i="4"/>
  <c r="A6" i="7"/>
  <c r="B58" i="11"/>
  <c r="B55" i="6"/>
  <c r="B59" i="6"/>
  <c r="A5" i="7"/>
  <c r="C57" i="11"/>
  <c r="D54" i="11"/>
  <c r="B58" i="4"/>
  <c r="C55" i="4"/>
  <c r="C57" i="6"/>
  <c r="D54" i="6"/>
  <c r="A7" i="7"/>
  <c r="B8" i="7"/>
  <c r="B57" i="11"/>
  <c r="C54" i="6"/>
  <c r="C59" i="11"/>
  <c r="D56" i="11"/>
  <c r="B54" i="11"/>
  <c r="C59" i="6"/>
  <c r="D56" i="6"/>
  <c r="B54" i="6"/>
  <c r="C54" i="11"/>
  <c r="B57" i="6"/>
  <c r="D59" i="4"/>
  <c r="B57" i="4"/>
  <c r="B10" i="7"/>
  <c r="D59" i="11"/>
  <c r="D58" i="11"/>
  <c r="B56" i="11"/>
  <c r="B61" i="11"/>
  <c r="B14" i="2"/>
  <c r="D32" i="2" l="1"/>
  <c r="J8" i="12" s="1"/>
  <c r="D31" i="2"/>
  <c r="J7" i="12" s="1"/>
  <c r="B32" i="2"/>
  <c r="B31" i="2"/>
  <c r="H29" i="2"/>
  <c r="F29" i="2"/>
  <c r="M6" i="4" s="1"/>
  <c r="B29" i="2"/>
  <c r="M6" i="8" s="1"/>
  <c r="B61" i="12"/>
  <c r="B10" i="12"/>
  <c r="C9" i="12"/>
  <c r="K27" i="12" s="1"/>
  <c r="B9" i="12"/>
  <c r="C8" i="12"/>
  <c r="I27" i="12" s="1"/>
  <c r="A8" i="12"/>
  <c r="I23" i="12" s="1"/>
  <c r="B7" i="12"/>
  <c r="C6" i="12"/>
  <c r="E27" i="12" s="1"/>
  <c r="B6" i="12"/>
  <c r="C5" i="12"/>
  <c r="G51" i="12"/>
  <c r="G59" i="12" s="1"/>
  <c r="G50" i="12"/>
  <c r="G58" i="12" s="1"/>
  <c r="G49" i="12"/>
  <c r="G57" i="12" s="1"/>
  <c r="A7" i="12"/>
  <c r="G47" i="12"/>
  <c r="G55" i="12" s="1"/>
  <c r="A6" i="12"/>
  <c r="F6" i="12" s="1"/>
  <c r="B44" i="12"/>
  <c r="B28" i="12"/>
  <c r="B15" i="12"/>
  <c r="C10" i="12"/>
  <c r="M27" i="12" s="1"/>
  <c r="B8" i="12"/>
  <c r="C7" i="12"/>
  <c r="G27" i="12" s="1"/>
  <c r="B5" i="12"/>
  <c r="E23" i="12" s="1"/>
  <c r="A5" i="12"/>
  <c r="C23" i="12" s="1"/>
  <c r="B10" i="11"/>
  <c r="C9" i="11"/>
  <c r="K27" i="11" s="1"/>
  <c r="B9" i="11"/>
  <c r="B6" i="11"/>
  <c r="C5" i="11"/>
  <c r="B5" i="11"/>
  <c r="E23" i="11" s="1"/>
  <c r="A10" i="11"/>
  <c r="A9" i="11"/>
  <c r="G49" i="11"/>
  <c r="G57" i="11" s="1"/>
  <c r="A8" i="11"/>
  <c r="G48" i="11"/>
  <c r="G56" i="11" s="1"/>
  <c r="A7" i="11"/>
  <c r="A6" i="11"/>
  <c r="F6" i="11" s="1"/>
  <c r="G46" i="11"/>
  <c r="G54" i="11" s="1"/>
  <c r="B44" i="11"/>
  <c r="B28" i="11"/>
  <c r="B15" i="11"/>
  <c r="C10" i="11"/>
  <c r="M27" i="11" s="1"/>
  <c r="C8" i="11"/>
  <c r="I27" i="11" s="1"/>
  <c r="B8" i="11"/>
  <c r="C7" i="11"/>
  <c r="G27" i="11" s="1"/>
  <c r="B7" i="11"/>
  <c r="C6" i="11"/>
  <c r="E27" i="11" s="1"/>
  <c r="A5" i="11"/>
  <c r="C23" i="11" s="1"/>
  <c r="H33" i="2"/>
  <c r="J6" i="6" s="1"/>
  <c r="F33" i="2"/>
  <c r="J6" i="10" s="1"/>
  <c r="D33" i="2"/>
  <c r="B33" i="2"/>
  <c r="J6" i="5" s="1"/>
  <c r="B10" i="10"/>
  <c r="B8" i="10"/>
  <c r="C7" i="10"/>
  <c r="G27" i="10" s="1"/>
  <c r="B7" i="10"/>
  <c r="C5" i="10"/>
  <c r="B5" i="10"/>
  <c r="E23" i="10" s="1"/>
  <c r="A5" i="10"/>
  <c r="C23" i="10" s="1"/>
  <c r="A10" i="10"/>
  <c r="A9" i="10"/>
  <c r="G49" i="10"/>
  <c r="G57" i="10" s="1"/>
  <c r="A7" i="10"/>
  <c r="A6" i="10"/>
  <c r="F6" i="10" s="1"/>
  <c r="B61" i="10"/>
  <c r="A8" i="10"/>
  <c r="B44" i="10"/>
  <c r="B28" i="10"/>
  <c r="B15" i="10"/>
  <c r="C15" i="10" s="1"/>
  <c r="C10" i="10"/>
  <c r="M27" i="10" s="1"/>
  <c r="C9" i="10"/>
  <c r="K27" i="10" s="1"/>
  <c r="B9" i="10"/>
  <c r="C8" i="10"/>
  <c r="I27" i="10" s="1"/>
  <c r="J7" i="10"/>
  <c r="M6" i="10"/>
  <c r="C6" i="10"/>
  <c r="E27" i="10" s="1"/>
  <c r="B6" i="10"/>
  <c r="B9" i="9"/>
  <c r="C8" i="9"/>
  <c r="I27" i="9" s="1"/>
  <c r="B8" i="9"/>
  <c r="A8" i="9"/>
  <c r="C6" i="9"/>
  <c r="E27" i="9" s="1"/>
  <c r="B6" i="9"/>
  <c r="C5" i="9"/>
  <c r="B5" i="9"/>
  <c r="E23" i="9" s="1"/>
  <c r="A5" i="9"/>
  <c r="C23" i="9" s="1"/>
  <c r="A10" i="9"/>
  <c r="A9" i="9"/>
  <c r="G49" i="9"/>
  <c r="G57" i="9" s="1"/>
  <c r="A7" i="9"/>
  <c r="A6" i="9"/>
  <c r="F6" i="9" s="1"/>
  <c r="B61" i="9"/>
  <c r="B44" i="9"/>
  <c r="B28" i="9"/>
  <c r="B15" i="9"/>
  <c r="C10" i="9"/>
  <c r="M27" i="9" s="1"/>
  <c r="B10" i="9"/>
  <c r="C9" i="9"/>
  <c r="K27" i="9" s="1"/>
  <c r="C7" i="9"/>
  <c r="G27" i="9" s="1"/>
  <c r="B7" i="9"/>
  <c r="M6" i="9"/>
  <c r="C10" i="8"/>
  <c r="M27" i="8" s="1"/>
  <c r="B10" i="8"/>
  <c r="C9" i="8"/>
  <c r="K27" i="8" s="1"/>
  <c r="B8" i="8"/>
  <c r="C7" i="8"/>
  <c r="G27" i="8" s="1"/>
  <c r="B7" i="8"/>
  <c r="C6" i="8"/>
  <c r="E27" i="8" s="1"/>
  <c r="B6" i="8"/>
  <c r="G51" i="8"/>
  <c r="A10" i="8"/>
  <c r="G50" i="8"/>
  <c r="A9" i="8"/>
  <c r="G49" i="8"/>
  <c r="A7" i="8"/>
  <c r="A6" i="8"/>
  <c r="F6" i="8" s="1"/>
  <c r="B61" i="8"/>
  <c r="A8" i="8"/>
  <c r="B44" i="8"/>
  <c r="B28" i="8"/>
  <c r="B15" i="8"/>
  <c r="B9" i="8"/>
  <c r="C8" i="8"/>
  <c r="I27" i="8" s="1"/>
  <c r="C5" i="8"/>
  <c r="B5" i="8"/>
  <c r="E23" i="8" s="1"/>
  <c r="A5" i="8"/>
  <c r="C23" i="8" s="1"/>
  <c r="H34" i="2"/>
  <c r="F34" i="2"/>
  <c r="D34" i="2"/>
  <c r="B17" i="12" s="1"/>
  <c r="B34" i="2"/>
  <c r="B15" i="5"/>
  <c r="M6" i="11"/>
  <c r="M7" i="11"/>
  <c r="H30" i="2"/>
  <c r="M7" i="10" s="1"/>
  <c r="F30" i="2"/>
  <c r="M7" i="9" s="1"/>
  <c r="B30" i="2"/>
  <c r="M7" i="8" s="1"/>
  <c r="B61" i="7"/>
  <c r="C7" i="7"/>
  <c r="G27" i="7" s="1"/>
  <c r="C23" i="7"/>
  <c r="G51" i="7"/>
  <c r="G50" i="7"/>
  <c r="G47" i="7"/>
  <c r="F6" i="7"/>
  <c r="B44" i="7"/>
  <c r="B28" i="7"/>
  <c r="B15" i="7"/>
  <c r="C10" i="7"/>
  <c r="M27" i="7" s="1"/>
  <c r="C9" i="7"/>
  <c r="K27" i="7" s="1"/>
  <c r="C8" i="7"/>
  <c r="I27" i="7" s="1"/>
  <c r="C6" i="7"/>
  <c r="E27" i="7" s="1"/>
  <c r="C5" i="7"/>
  <c r="E23" i="7"/>
  <c r="M6" i="6"/>
  <c r="J7" i="6"/>
  <c r="B61" i="6"/>
  <c r="B10" i="6"/>
  <c r="C9" i="6"/>
  <c r="K27" i="6" s="1"/>
  <c r="B9" i="6"/>
  <c r="C8" i="6"/>
  <c r="I27" i="6" s="1"/>
  <c r="B7" i="6"/>
  <c r="C6" i="6"/>
  <c r="E27" i="6" s="1"/>
  <c r="B6" i="6"/>
  <c r="C5" i="6"/>
  <c r="B5" i="6"/>
  <c r="E23" i="6" s="1"/>
  <c r="A5" i="6"/>
  <c r="C23" i="6" s="1"/>
  <c r="A10" i="6"/>
  <c r="A9" i="6"/>
  <c r="G49" i="6"/>
  <c r="A8" i="6"/>
  <c r="G48" i="6"/>
  <c r="A7" i="6"/>
  <c r="A6" i="6"/>
  <c r="F6" i="6" s="1"/>
  <c r="G46" i="6"/>
  <c r="B44" i="6"/>
  <c r="B28" i="6"/>
  <c r="B15" i="6"/>
  <c r="C10" i="6"/>
  <c r="M27" i="6" s="1"/>
  <c r="B8" i="6"/>
  <c r="C7" i="6"/>
  <c r="G27" i="6" s="1"/>
  <c r="B43" i="2"/>
  <c r="B42" i="2"/>
  <c r="B15" i="4"/>
  <c r="B61" i="5"/>
  <c r="C10" i="5"/>
  <c r="M27" i="5" s="1"/>
  <c r="B9" i="5"/>
  <c r="C8" i="5"/>
  <c r="I27" i="5" s="1"/>
  <c r="B8" i="5"/>
  <c r="B6" i="5"/>
  <c r="C5" i="5"/>
  <c r="B5" i="5"/>
  <c r="E23" i="5" s="1"/>
  <c r="A10" i="5"/>
  <c r="A9" i="5"/>
  <c r="G49" i="5"/>
  <c r="G57" i="5" s="1"/>
  <c r="A7" i="5"/>
  <c r="A6" i="5"/>
  <c r="F6" i="5" s="1"/>
  <c r="B44" i="5"/>
  <c r="B28" i="5"/>
  <c r="B10" i="5"/>
  <c r="C9" i="5"/>
  <c r="K27" i="5" s="1"/>
  <c r="A8" i="5"/>
  <c r="I23" i="5" s="1"/>
  <c r="C7" i="5"/>
  <c r="G27" i="5" s="1"/>
  <c r="B7" i="5"/>
  <c r="C6" i="5"/>
  <c r="E27" i="5" s="1"/>
  <c r="A5" i="5"/>
  <c r="C23" i="5" s="1"/>
  <c r="B61" i="4"/>
  <c r="C10" i="4"/>
  <c r="M27" i="4" s="1"/>
  <c r="B10" i="4"/>
  <c r="B9" i="4"/>
  <c r="C7" i="4"/>
  <c r="G27" i="4" s="1"/>
  <c r="B7" i="4"/>
  <c r="C6" i="4"/>
  <c r="E27" i="4" s="1"/>
  <c r="B6" i="4"/>
  <c r="G51" i="4"/>
  <c r="G50" i="4"/>
  <c r="G49" i="4"/>
  <c r="G48" i="4"/>
  <c r="G47" i="4"/>
  <c r="G46" i="4"/>
  <c r="B44" i="4"/>
  <c r="B28" i="4"/>
  <c r="C9" i="4"/>
  <c r="K27" i="4" s="1"/>
  <c r="C8" i="4"/>
  <c r="I27" i="4" s="1"/>
  <c r="B8" i="4"/>
  <c r="C5" i="4"/>
  <c r="B5" i="4"/>
  <c r="E23" i="4" s="1"/>
  <c r="A5" i="4"/>
  <c r="C23" i="4" s="1"/>
  <c r="C15" i="7" l="1"/>
  <c r="C15" i="8"/>
  <c r="B17" i="6"/>
  <c r="B17" i="10"/>
  <c r="C15" i="9"/>
  <c r="B17" i="9"/>
  <c r="B17" i="4"/>
  <c r="M6" i="5"/>
  <c r="F5" i="4"/>
  <c r="C15" i="5"/>
  <c r="M6" i="7"/>
  <c r="B17" i="7"/>
  <c r="B17" i="8"/>
  <c r="M7" i="7"/>
  <c r="M7" i="4"/>
  <c r="J8" i="7"/>
  <c r="J8" i="5"/>
  <c r="J8" i="11"/>
  <c r="J8" i="8"/>
  <c r="F32" i="2"/>
  <c r="F31" i="2"/>
  <c r="J7" i="9" s="1"/>
  <c r="C15" i="6"/>
  <c r="C15" i="4"/>
  <c r="C15" i="12"/>
  <c r="C15" i="11"/>
  <c r="F8" i="5"/>
  <c r="F5" i="5"/>
  <c r="J6" i="4"/>
  <c r="J6" i="9"/>
  <c r="G47" i="9"/>
  <c r="G55" i="9" s="1"/>
  <c r="G48" i="12"/>
  <c r="G56" i="12" s="1"/>
  <c r="G50" i="6"/>
  <c r="G48" i="7"/>
  <c r="G50" i="11"/>
  <c r="G58" i="11" s="1"/>
  <c r="G48" i="10"/>
  <c r="G56" i="10" s="1"/>
  <c r="G51" i="5"/>
  <c r="G59" i="5" s="1"/>
  <c r="G47" i="6"/>
  <c r="G51" i="6"/>
  <c r="G49" i="7"/>
  <c r="F5" i="9"/>
  <c r="J13" i="10"/>
  <c r="G47" i="11"/>
  <c r="G55" i="11" s="1"/>
  <c r="G51" i="11"/>
  <c r="G59" i="11" s="1"/>
  <c r="F5" i="8"/>
  <c r="G48" i="9"/>
  <c r="G56" i="9" s="1"/>
  <c r="G47" i="10"/>
  <c r="G55" i="10" s="1"/>
  <c r="G50" i="5"/>
  <c r="G58" i="5" s="1"/>
  <c r="M7" i="6"/>
  <c r="M13" i="6" s="1"/>
  <c r="M13" i="7"/>
  <c r="J6" i="11"/>
  <c r="J6" i="12"/>
  <c r="J13" i="12" s="1"/>
  <c r="J6" i="7"/>
  <c r="J6" i="8"/>
  <c r="B17" i="11"/>
  <c r="J13" i="6"/>
  <c r="J7" i="11"/>
  <c r="M7" i="5"/>
  <c r="M13" i="5" s="1"/>
  <c r="M13" i="8"/>
  <c r="M13" i="9"/>
  <c r="M7" i="12"/>
  <c r="M13" i="11"/>
  <c r="M13" i="10"/>
  <c r="M6" i="12"/>
  <c r="G23" i="12"/>
  <c r="F7" i="12"/>
  <c r="F5" i="12"/>
  <c r="F8" i="12"/>
  <c r="A9" i="12"/>
  <c r="A10" i="12"/>
  <c r="G23" i="11"/>
  <c r="F7" i="11"/>
  <c r="I23" i="11"/>
  <c r="F8" i="11"/>
  <c r="K23" i="11"/>
  <c r="F9" i="11"/>
  <c r="M23" i="11"/>
  <c r="F10" i="11"/>
  <c r="F5" i="11"/>
  <c r="G50" i="10"/>
  <c r="G58" i="10" s="1"/>
  <c r="G51" i="10"/>
  <c r="G59" i="10" s="1"/>
  <c r="F7" i="10"/>
  <c r="G23" i="10"/>
  <c r="I23" i="10"/>
  <c r="F8" i="10"/>
  <c r="F9" i="10"/>
  <c r="K23" i="10"/>
  <c r="M23" i="10"/>
  <c r="F10" i="10"/>
  <c r="F5" i="10"/>
  <c r="G50" i="9"/>
  <c r="G58" i="9" s="1"/>
  <c r="G51" i="9"/>
  <c r="G59" i="9" s="1"/>
  <c r="G23" i="9"/>
  <c r="F7" i="9"/>
  <c r="I23" i="9"/>
  <c r="F8" i="9"/>
  <c r="K23" i="9"/>
  <c r="F9" i="9"/>
  <c r="M23" i="9"/>
  <c r="F10" i="9"/>
  <c r="G47" i="8"/>
  <c r="G48" i="8"/>
  <c r="G23" i="8"/>
  <c r="F7" i="8"/>
  <c r="I23" i="8"/>
  <c r="F8" i="8"/>
  <c r="K23" i="8"/>
  <c r="F9" i="8"/>
  <c r="M23" i="8"/>
  <c r="F10" i="8"/>
  <c r="F7" i="7"/>
  <c r="G23" i="7"/>
  <c r="I23" i="7"/>
  <c r="F8" i="7"/>
  <c r="F9" i="7"/>
  <c r="K23" i="7"/>
  <c r="M23" i="7"/>
  <c r="F10" i="7"/>
  <c r="F5" i="7"/>
  <c r="F7" i="6"/>
  <c r="G23" i="6"/>
  <c r="I23" i="6"/>
  <c r="F8" i="6"/>
  <c r="F9" i="6"/>
  <c r="K23" i="6"/>
  <c r="M23" i="6"/>
  <c r="F10" i="6"/>
  <c r="F5" i="6"/>
  <c r="M13" i="4"/>
  <c r="F7" i="5"/>
  <c r="G23" i="5"/>
  <c r="F9" i="5"/>
  <c r="K23" i="5"/>
  <c r="M23" i="5"/>
  <c r="F10" i="5"/>
  <c r="G47" i="5"/>
  <c r="G55" i="5" s="1"/>
  <c r="G48" i="5"/>
  <c r="G56" i="5" s="1"/>
  <c r="A6" i="4"/>
  <c r="F6" i="4" s="1"/>
  <c r="A7" i="4"/>
  <c r="A8" i="4"/>
  <c r="A9" i="4"/>
  <c r="A10" i="4"/>
  <c r="J13" i="11" l="1"/>
  <c r="B16" i="11" s="1"/>
  <c r="C16" i="11" s="1"/>
  <c r="J8" i="4"/>
  <c r="J8" i="9"/>
  <c r="J13" i="9" s="1"/>
  <c r="B16" i="9" s="1"/>
  <c r="C16" i="9" s="1"/>
  <c r="J7" i="4"/>
  <c r="B16" i="10"/>
  <c r="C16" i="10" s="1"/>
  <c r="B16" i="6"/>
  <c r="C16" i="6" s="1"/>
  <c r="M13" i="12"/>
  <c r="B16" i="12" s="1"/>
  <c r="C16" i="12" s="1"/>
  <c r="K23" i="12"/>
  <c r="F9" i="12"/>
  <c r="M23" i="12"/>
  <c r="F10" i="12"/>
  <c r="K23" i="4"/>
  <c r="F9" i="4"/>
  <c r="G23" i="4"/>
  <c r="F7" i="4"/>
  <c r="M23" i="4"/>
  <c r="F10" i="4"/>
  <c r="I23" i="4"/>
  <c r="F8" i="4"/>
  <c r="J13" i="4" l="1"/>
  <c r="B16" i="4" s="1"/>
  <c r="C16" i="4" s="1"/>
  <c r="H27" i="2"/>
  <c r="F27" i="2"/>
  <c r="C13" i="9" l="1"/>
  <c r="C17" i="9" s="1"/>
  <c r="K22" i="9" s="1"/>
  <c r="C13" i="4"/>
  <c r="C17" i="4" s="1"/>
  <c r="C13" i="10"/>
  <c r="C17" i="10" s="1"/>
  <c r="C22" i="10" s="1"/>
  <c r="C13" i="6"/>
  <c r="C17" i="6" s="1"/>
  <c r="E11" i="1"/>
  <c r="B11" i="1"/>
  <c r="B10" i="1"/>
  <c r="C15" i="1" s="1"/>
  <c r="M22" i="10" l="1"/>
  <c r="M32" i="10" s="1"/>
  <c r="I22" i="10"/>
  <c r="I31" i="10" s="1"/>
  <c r="I34" i="10" s="1"/>
  <c r="G22" i="10"/>
  <c r="G31" i="10" s="1"/>
  <c r="G34" i="10" s="1"/>
  <c r="E22" i="10"/>
  <c r="E31" i="10" s="1"/>
  <c r="E34" i="10" s="1"/>
  <c r="K22" i="10"/>
  <c r="K24" i="10" s="1"/>
  <c r="K25" i="10" s="1"/>
  <c r="K28" i="10" s="1"/>
  <c r="K29" i="10" s="1"/>
  <c r="C22" i="9"/>
  <c r="C33" i="9" s="1"/>
  <c r="G22" i="9"/>
  <c r="G24" i="9" s="1"/>
  <c r="G25" i="9" s="1"/>
  <c r="G28" i="9" s="1"/>
  <c r="G29" i="9" s="1"/>
  <c r="E22" i="9"/>
  <c r="E31" i="9" s="1"/>
  <c r="E34" i="9" s="1"/>
  <c r="I22" i="9"/>
  <c r="I24" i="9" s="1"/>
  <c r="I25" i="9" s="1"/>
  <c r="I28" i="9" s="1"/>
  <c r="I29" i="9" s="1"/>
  <c r="M22" i="9"/>
  <c r="M33" i="9" s="1"/>
  <c r="C32" i="10"/>
  <c r="C24" i="10"/>
  <c r="C25" i="10" s="1"/>
  <c r="C28" i="10" s="1"/>
  <c r="C29" i="10" s="1"/>
  <c r="C33" i="10"/>
  <c r="C31" i="10"/>
  <c r="C34" i="10" s="1"/>
  <c r="K32" i="9"/>
  <c r="K24" i="9"/>
  <c r="K25" i="9" s="1"/>
  <c r="K28" i="9" s="1"/>
  <c r="K29" i="9" s="1"/>
  <c r="K33" i="9"/>
  <c r="K31" i="9"/>
  <c r="K34" i="9" s="1"/>
  <c r="J7" i="7"/>
  <c r="J13" i="7" s="1"/>
  <c r="B16" i="7" s="1"/>
  <c r="C16" i="7" s="1"/>
  <c r="J7" i="5"/>
  <c r="J13" i="5" s="1"/>
  <c r="B16" i="5" s="1"/>
  <c r="J7" i="8"/>
  <c r="J13" i="8" s="1"/>
  <c r="B16" i="8" s="1"/>
  <c r="C16" i="8" s="1"/>
  <c r="K22" i="6"/>
  <c r="M22" i="6"/>
  <c r="E22" i="6"/>
  <c r="G22" i="6"/>
  <c r="I22" i="6"/>
  <c r="C22" i="6"/>
  <c r="K22" i="4"/>
  <c r="E22" i="4"/>
  <c r="I22" i="4"/>
  <c r="M22" i="4"/>
  <c r="M32" i="4" s="1"/>
  <c r="G22" i="4"/>
  <c r="C22" i="4"/>
  <c r="C32" i="4" s="1"/>
  <c r="D27" i="2"/>
  <c r="B27" i="2"/>
  <c r="B15" i="1"/>
  <c r="B16" i="1" s="1"/>
  <c r="B17" i="1" s="1"/>
  <c r="I24" i="10" l="1"/>
  <c r="I25" i="10" s="1"/>
  <c r="I28" i="10" s="1"/>
  <c r="I29" i="10" s="1"/>
  <c r="M31" i="10"/>
  <c r="M34" i="10" s="1"/>
  <c r="I32" i="10"/>
  <c r="M33" i="10"/>
  <c r="M24" i="10"/>
  <c r="M25" i="10" s="1"/>
  <c r="M28" i="10" s="1"/>
  <c r="M29" i="10" s="1"/>
  <c r="K32" i="10"/>
  <c r="E24" i="10"/>
  <c r="E25" i="10" s="1"/>
  <c r="E28" i="10" s="1"/>
  <c r="E29" i="10" s="1"/>
  <c r="E32" i="10" s="1"/>
  <c r="I33" i="10"/>
  <c r="E33" i="10"/>
  <c r="G32" i="9"/>
  <c r="E24" i="9"/>
  <c r="E25" i="9" s="1"/>
  <c r="E28" i="9" s="1"/>
  <c r="E29" i="9" s="1"/>
  <c r="E32" i="9" s="1"/>
  <c r="E33" i="9"/>
  <c r="I33" i="9"/>
  <c r="C24" i="9"/>
  <c r="C25" i="9" s="1"/>
  <c r="C28" i="9" s="1"/>
  <c r="C29" i="9" s="1"/>
  <c r="C32" i="9" s="1"/>
  <c r="I31" i="9"/>
  <c r="I34" i="9" s="1"/>
  <c r="I32" i="9"/>
  <c r="M32" i="9"/>
  <c r="G24" i="10"/>
  <c r="G25" i="10" s="1"/>
  <c r="G28" i="10" s="1"/>
  <c r="G29" i="10" s="1"/>
  <c r="G32" i="10" s="1"/>
  <c r="G33" i="10"/>
  <c r="K33" i="10"/>
  <c r="K31" i="10"/>
  <c r="K34" i="10" s="1"/>
  <c r="G31" i="9"/>
  <c r="G34" i="9" s="1"/>
  <c r="G33" i="9"/>
  <c r="M24" i="9"/>
  <c r="M25" i="9" s="1"/>
  <c r="M28" i="9" s="1"/>
  <c r="M29" i="9" s="1"/>
  <c r="C31" i="9"/>
  <c r="C34" i="9" s="1"/>
  <c r="M31" i="9"/>
  <c r="M34" i="9" s="1"/>
  <c r="K35" i="9"/>
  <c r="C35" i="10"/>
  <c r="C13" i="11"/>
  <c r="C17" i="11" s="1"/>
  <c r="M22" i="11" s="1"/>
  <c r="C13" i="8"/>
  <c r="C17" i="8" s="1"/>
  <c r="C13" i="12"/>
  <c r="C17" i="12" s="1"/>
  <c r="C13" i="5"/>
  <c r="C13" i="7"/>
  <c r="C17" i="7" s="1"/>
  <c r="M34" i="5"/>
  <c r="K34" i="5"/>
  <c r="I34" i="5"/>
  <c r="G34" i="5"/>
  <c r="C34" i="5"/>
  <c r="C16" i="5"/>
  <c r="E34" i="5"/>
  <c r="I31" i="6"/>
  <c r="I34" i="6" s="1"/>
  <c r="I33" i="6"/>
  <c r="I24" i="6"/>
  <c r="I25" i="6" s="1"/>
  <c r="I28" i="6" s="1"/>
  <c r="I29" i="6" s="1"/>
  <c r="I32" i="6" s="1"/>
  <c r="E24" i="6"/>
  <c r="E25" i="6" s="1"/>
  <c r="E28" i="6" s="1"/>
  <c r="E29" i="6" s="1"/>
  <c r="E32" i="6" s="1"/>
  <c r="E33" i="6"/>
  <c r="E31" i="6"/>
  <c r="E34" i="6" s="1"/>
  <c r="K24" i="6"/>
  <c r="K25" i="6" s="1"/>
  <c r="K28" i="6" s="1"/>
  <c r="K29" i="6" s="1"/>
  <c r="K32" i="6" s="1"/>
  <c r="K31" i="6"/>
  <c r="K34" i="6" s="1"/>
  <c r="K33" i="6"/>
  <c r="C32" i="6"/>
  <c r="C24" i="6"/>
  <c r="C25" i="6" s="1"/>
  <c r="C28" i="6" s="1"/>
  <c r="C29" i="6" s="1"/>
  <c r="C31" i="6"/>
  <c r="C34" i="6" s="1"/>
  <c r="C33" i="6"/>
  <c r="G24" i="6"/>
  <c r="G25" i="6" s="1"/>
  <c r="G28" i="6" s="1"/>
  <c r="G29" i="6" s="1"/>
  <c r="G32" i="6" s="1"/>
  <c r="G33" i="6"/>
  <c r="G31" i="6"/>
  <c r="G34" i="6" s="1"/>
  <c r="M32" i="6"/>
  <c r="M24" i="6"/>
  <c r="M25" i="6" s="1"/>
  <c r="M28" i="6" s="1"/>
  <c r="M29" i="6" s="1"/>
  <c r="M33" i="6"/>
  <c r="M31" i="6"/>
  <c r="M34" i="6" s="1"/>
  <c r="G33" i="4"/>
  <c r="G31" i="4"/>
  <c r="G34" i="4" s="1"/>
  <c r="I33" i="4"/>
  <c r="I31" i="4"/>
  <c r="I34" i="4" s="1"/>
  <c r="K33" i="4"/>
  <c r="K31" i="4"/>
  <c r="K34" i="4" s="1"/>
  <c r="C31" i="4"/>
  <c r="C34" i="4" s="1"/>
  <c r="C33" i="4"/>
  <c r="M33" i="4"/>
  <c r="M31" i="4"/>
  <c r="M34" i="4" s="1"/>
  <c r="E33" i="4"/>
  <c r="E31" i="4"/>
  <c r="E34" i="4" s="1"/>
  <c r="M24" i="4"/>
  <c r="M25" i="4" s="1"/>
  <c r="M28" i="4" s="1"/>
  <c r="M29" i="4" s="1"/>
  <c r="C24" i="4"/>
  <c r="C25" i="4" s="1"/>
  <c r="C28" i="4" s="1"/>
  <c r="C29" i="4" s="1"/>
  <c r="G24" i="4"/>
  <c r="G25" i="4" s="1"/>
  <c r="G28" i="4" s="1"/>
  <c r="G29" i="4" s="1"/>
  <c r="G32" i="4" s="1"/>
  <c r="E24" i="4"/>
  <c r="E25" i="4" s="1"/>
  <c r="E28" i="4" s="1"/>
  <c r="E29" i="4" s="1"/>
  <c r="E32" i="4" s="1"/>
  <c r="I24" i="4"/>
  <c r="I25" i="4" s="1"/>
  <c r="I28" i="4" s="1"/>
  <c r="I29" i="4" s="1"/>
  <c r="I32" i="4" s="1"/>
  <c r="K24" i="4"/>
  <c r="K25" i="4" s="1"/>
  <c r="K28" i="4" s="1"/>
  <c r="K29" i="4" s="1"/>
  <c r="K32" i="4" s="1"/>
  <c r="B18" i="1"/>
  <c r="D15" i="1"/>
  <c r="E15" i="1" l="1"/>
  <c r="M35" i="10"/>
  <c r="E35" i="9"/>
  <c r="I35" i="10"/>
  <c r="G35" i="10"/>
  <c r="E35" i="10"/>
  <c r="I35" i="9"/>
  <c r="C35" i="9"/>
  <c r="M35" i="9"/>
  <c r="K35" i="10"/>
  <c r="G35" i="9"/>
  <c r="C17" i="5"/>
  <c r="M22" i="5" s="1"/>
  <c r="I22" i="11"/>
  <c r="C22" i="11"/>
  <c r="C24" i="11" s="1"/>
  <c r="C25" i="11" s="1"/>
  <c r="C28" i="11" s="1"/>
  <c r="C29" i="11" s="1"/>
  <c r="E22" i="11"/>
  <c r="E24" i="11" s="1"/>
  <c r="E25" i="11" s="1"/>
  <c r="E28" i="11" s="1"/>
  <c r="E29" i="11" s="1"/>
  <c r="E32" i="11" s="1"/>
  <c r="I22" i="8"/>
  <c r="I31" i="8" s="1"/>
  <c r="I34" i="8" s="1"/>
  <c r="M22" i="8"/>
  <c r="M33" i="8" s="1"/>
  <c r="G22" i="8"/>
  <c r="G24" i="8" s="1"/>
  <c r="G25" i="8" s="1"/>
  <c r="G28" i="8" s="1"/>
  <c r="G29" i="8" s="1"/>
  <c r="G32" i="8" s="1"/>
  <c r="K22" i="8"/>
  <c r="K33" i="8" s="1"/>
  <c r="E22" i="8"/>
  <c r="E33" i="8" s="1"/>
  <c r="C22" i="8"/>
  <c r="C31" i="8" s="1"/>
  <c r="C34" i="8" s="1"/>
  <c r="K22" i="11"/>
  <c r="K32" i="11" s="1"/>
  <c r="G22" i="11"/>
  <c r="G24" i="11" s="1"/>
  <c r="G25" i="11" s="1"/>
  <c r="G28" i="11" s="1"/>
  <c r="G29" i="11" s="1"/>
  <c r="G32" i="11" s="1"/>
  <c r="M22" i="12"/>
  <c r="K22" i="12"/>
  <c r="I22" i="12"/>
  <c r="E22" i="12"/>
  <c r="C22" i="12"/>
  <c r="G22" i="12"/>
  <c r="H36" i="2"/>
  <c r="H35" i="2"/>
  <c r="K31" i="5"/>
  <c r="M31" i="5"/>
  <c r="G31" i="5"/>
  <c r="C31" i="5"/>
  <c r="I31" i="5"/>
  <c r="E31" i="5"/>
  <c r="M32" i="11"/>
  <c r="M24" i="11"/>
  <c r="M25" i="11" s="1"/>
  <c r="M28" i="11" s="1"/>
  <c r="M29" i="11" s="1"/>
  <c r="M33" i="11"/>
  <c r="M31" i="11"/>
  <c r="M34" i="11" s="1"/>
  <c r="F35" i="2"/>
  <c r="F36" i="2"/>
  <c r="M35" i="4"/>
  <c r="I22" i="7"/>
  <c r="K22" i="7"/>
  <c r="C22" i="7"/>
  <c r="M22" i="7"/>
  <c r="E22" i="7"/>
  <c r="G22" i="7"/>
  <c r="M35" i="6"/>
  <c r="C35" i="6"/>
  <c r="E35" i="6"/>
  <c r="I35" i="6"/>
  <c r="G35" i="6"/>
  <c r="K35" i="6"/>
  <c r="K35" i="4"/>
  <c r="C35" i="4"/>
  <c r="E35" i="4"/>
  <c r="I35" i="4"/>
  <c r="G35" i="4"/>
  <c r="C16" i="1"/>
  <c r="B19" i="1"/>
  <c r="H37" i="2" l="1"/>
  <c r="H38" i="2" s="1"/>
  <c r="I31" i="11"/>
  <c r="I34" i="11" s="1"/>
  <c r="K24" i="11"/>
  <c r="K25" i="11" s="1"/>
  <c r="K28" i="11" s="1"/>
  <c r="K29" i="11" s="1"/>
  <c r="C32" i="11"/>
  <c r="C33" i="11"/>
  <c r="C31" i="11"/>
  <c r="C34" i="11" s="1"/>
  <c r="I33" i="8"/>
  <c r="I32" i="8"/>
  <c r="M24" i="8"/>
  <c r="M25" i="8" s="1"/>
  <c r="M28" i="8" s="1"/>
  <c r="M29" i="8" s="1"/>
  <c r="C24" i="8"/>
  <c r="C25" i="8" s="1"/>
  <c r="C28" i="8" s="1"/>
  <c r="C29" i="8" s="1"/>
  <c r="C32" i="8" s="1"/>
  <c r="E22" i="5"/>
  <c r="E24" i="5" s="1"/>
  <c r="E25" i="5" s="1"/>
  <c r="E28" i="5" s="1"/>
  <c r="E29" i="5" s="1"/>
  <c r="E32" i="5" s="1"/>
  <c r="I22" i="5"/>
  <c r="I24" i="5" s="1"/>
  <c r="I25" i="5" s="1"/>
  <c r="I28" i="5" s="1"/>
  <c r="I29" i="5" s="1"/>
  <c r="I32" i="5" s="1"/>
  <c r="K22" i="5"/>
  <c r="K24" i="5" s="1"/>
  <c r="K25" i="5" s="1"/>
  <c r="K28" i="5" s="1"/>
  <c r="K29" i="5" s="1"/>
  <c r="K32" i="5" s="1"/>
  <c r="K35" i="5" s="1"/>
  <c r="G31" i="8"/>
  <c r="G34" i="8" s="1"/>
  <c r="E24" i="8"/>
  <c r="E25" i="8" s="1"/>
  <c r="E28" i="8" s="1"/>
  <c r="E29" i="8" s="1"/>
  <c r="E32" i="8" s="1"/>
  <c r="G22" i="5"/>
  <c r="G24" i="5" s="1"/>
  <c r="G25" i="5" s="1"/>
  <c r="G28" i="5" s="1"/>
  <c r="G29" i="5" s="1"/>
  <c r="G32" i="5" s="1"/>
  <c r="G35" i="5" s="1"/>
  <c r="G33" i="8"/>
  <c r="C22" i="5"/>
  <c r="C24" i="5" s="1"/>
  <c r="C25" i="5" s="1"/>
  <c r="C28" i="5" s="1"/>
  <c r="C29" i="5" s="1"/>
  <c r="C32" i="5" s="1"/>
  <c r="C35" i="5" s="1"/>
  <c r="E31" i="8"/>
  <c r="E34" i="8" s="1"/>
  <c r="G33" i="11"/>
  <c r="E33" i="11"/>
  <c r="I24" i="11"/>
  <c r="I25" i="11" s="1"/>
  <c r="I28" i="11" s="1"/>
  <c r="I29" i="11" s="1"/>
  <c r="I32" i="11" s="1"/>
  <c r="C33" i="8"/>
  <c r="M31" i="8"/>
  <c r="M34" i="8" s="1"/>
  <c r="E31" i="11"/>
  <c r="E34" i="11" s="1"/>
  <c r="I33" i="11"/>
  <c r="G31" i="11"/>
  <c r="G34" i="11" s="1"/>
  <c r="M32" i="8"/>
  <c r="K31" i="11"/>
  <c r="K34" i="11" s="1"/>
  <c r="I24" i="8"/>
  <c r="I25" i="8" s="1"/>
  <c r="I28" i="8" s="1"/>
  <c r="I29" i="8" s="1"/>
  <c r="K33" i="11"/>
  <c r="K24" i="8"/>
  <c r="K25" i="8" s="1"/>
  <c r="K28" i="8" s="1"/>
  <c r="K29" i="8" s="1"/>
  <c r="K31" i="8"/>
  <c r="K34" i="8" s="1"/>
  <c r="K32" i="8"/>
  <c r="C33" i="12"/>
  <c r="C24" i="12"/>
  <c r="C25" i="12" s="1"/>
  <c r="C28" i="12" s="1"/>
  <c r="C29" i="12" s="1"/>
  <c r="C32" i="12"/>
  <c r="C31" i="12"/>
  <c r="C34" i="12" s="1"/>
  <c r="I33" i="12"/>
  <c r="I32" i="12"/>
  <c r="I24" i="12"/>
  <c r="I25" i="12" s="1"/>
  <c r="I28" i="12" s="1"/>
  <c r="I29" i="12" s="1"/>
  <c r="I31" i="12"/>
  <c r="I34" i="12" s="1"/>
  <c r="M32" i="12"/>
  <c r="M24" i="12"/>
  <c r="M25" i="12" s="1"/>
  <c r="M28" i="12" s="1"/>
  <c r="M29" i="12" s="1"/>
  <c r="M33" i="12"/>
  <c r="M31" i="12"/>
  <c r="M34" i="12" s="1"/>
  <c r="G32" i="12"/>
  <c r="G33" i="12"/>
  <c r="G31" i="12"/>
  <c r="G34" i="12" s="1"/>
  <c r="G24" i="12"/>
  <c r="G25" i="12" s="1"/>
  <c r="G28" i="12" s="1"/>
  <c r="G29" i="12" s="1"/>
  <c r="E33" i="12"/>
  <c r="E24" i="12"/>
  <c r="E25" i="12" s="1"/>
  <c r="E28" i="12" s="1"/>
  <c r="E29" i="12" s="1"/>
  <c r="E32" i="12" s="1"/>
  <c r="E31" i="12"/>
  <c r="E34" i="12" s="1"/>
  <c r="K33" i="12"/>
  <c r="K31" i="12"/>
  <c r="K34" i="12" s="1"/>
  <c r="K32" i="12"/>
  <c r="K24" i="12"/>
  <c r="K25" i="12" s="1"/>
  <c r="K28" i="12" s="1"/>
  <c r="K29" i="12" s="1"/>
  <c r="M35" i="11"/>
  <c r="M24" i="5"/>
  <c r="M25" i="5" s="1"/>
  <c r="M28" i="5" s="1"/>
  <c r="M29" i="5" s="1"/>
  <c r="M32" i="5" s="1"/>
  <c r="M35" i="5" s="1"/>
  <c r="M33" i="5"/>
  <c r="E33" i="7"/>
  <c r="E31" i="7"/>
  <c r="E34" i="7" s="1"/>
  <c r="E24" i="7"/>
  <c r="E25" i="7" s="1"/>
  <c r="E28" i="7" s="1"/>
  <c r="E29" i="7" s="1"/>
  <c r="E32" i="7" s="1"/>
  <c r="C33" i="7"/>
  <c r="C31" i="7"/>
  <c r="C34" i="7" s="1"/>
  <c r="C32" i="7"/>
  <c r="C24" i="7"/>
  <c r="C25" i="7" s="1"/>
  <c r="C28" i="7" s="1"/>
  <c r="C29" i="7" s="1"/>
  <c r="I33" i="7"/>
  <c r="I24" i="7"/>
  <c r="I25" i="7" s="1"/>
  <c r="I28" i="7" s="1"/>
  <c r="I29" i="7" s="1"/>
  <c r="I32" i="7" s="1"/>
  <c r="I31" i="7"/>
  <c r="I34" i="7" s="1"/>
  <c r="G31" i="7"/>
  <c r="G34" i="7" s="1"/>
  <c r="G33" i="7"/>
  <c r="G24" i="7"/>
  <c r="G25" i="7" s="1"/>
  <c r="G28" i="7" s="1"/>
  <c r="G29" i="7" s="1"/>
  <c r="G32" i="7" s="1"/>
  <c r="M33" i="7"/>
  <c r="M31" i="7"/>
  <c r="M34" i="7" s="1"/>
  <c r="M32" i="7"/>
  <c r="M24" i="7"/>
  <c r="M25" i="7" s="1"/>
  <c r="M28" i="7" s="1"/>
  <c r="M29" i="7" s="1"/>
  <c r="K33" i="7"/>
  <c r="K31" i="7"/>
  <c r="K34" i="7" s="1"/>
  <c r="K24" i="7"/>
  <c r="K25" i="7" s="1"/>
  <c r="K28" i="7" s="1"/>
  <c r="K29" i="7" s="1"/>
  <c r="K32" i="7" s="1"/>
  <c r="F37" i="2"/>
  <c r="F38" i="2" s="1"/>
  <c r="D16" i="1"/>
  <c r="B20" i="1"/>
  <c r="E16" i="1" l="1"/>
  <c r="D35" i="2"/>
  <c r="G33" i="5"/>
  <c r="M35" i="8"/>
  <c r="C35" i="11"/>
  <c r="D36" i="2"/>
  <c r="K33" i="5"/>
  <c r="I33" i="5"/>
  <c r="I35" i="5" s="1"/>
  <c r="E33" i="5"/>
  <c r="E35" i="5" s="1"/>
  <c r="I35" i="8"/>
  <c r="K35" i="8"/>
  <c r="C35" i="8"/>
  <c r="G35" i="8"/>
  <c r="I35" i="11"/>
  <c r="G35" i="11"/>
  <c r="C33" i="5"/>
  <c r="E35" i="8"/>
  <c r="K35" i="11"/>
  <c r="E35" i="11"/>
  <c r="M35" i="12"/>
  <c r="I35" i="12"/>
  <c r="C35" i="12"/>
  <c r="K35" i="12"/>
  <c r="E35" i="12"/>
  <c r="G35" i="12"/>
  <c r="B36" i="2"/>
  <c r="B35" i="2"/>
  <c r="K35" i="7"/>
  <c r="M35" i="7"/>
  <c r="C35" i="7"/>
  <c r="E35" i="7"/>
  <c r="G35" i="7"/>
  <c r="I35" i="7"/>
  <c r="C17" i="1"/>
  <c r="C18" i="1" s="1"/>
  <c r="B21" i="1"/>
  <c r="B22" i="1" s="1"/>
  <c r="D37" i="2" l="1"/>
  <c r="D38" i="2" s="1"/>
  <c r="B37" i="2"/>
  <c r="B38" i="2" s="1"/>
  <c r="D17" i="1"/>
  <c r="C19" i="1"/>
  <c r="D18" i="1"/>
  <c r="B23" i="1"/>
  <c r="E17" i="1" l="1"/>
  <c r="E18" i="1" s="1"/>
  <c r="D19" i="1"/>
  <c r="E19" i="1" l="1"/>
  <c r="C20" i="1"/>
  <c r="D20" i="1" s="1"/>
  <c r="B24" i="1"/>
  <c r="E20" i="1" l="1"/>
  <c r="C21" i="1"/>
  <c r="D21" i="1" s="1"/>
  <c r="B25" i="1"/>
  <c r="E21" i="1" l="1"/>
  <c r="C22" i="1"/>
  <c r="C23" i="1" s="1"/>
  <c r="B26" i="1"/>
  <c r="D22" i="1" l="1"/>
  <c r="E22" i="1" s="1"/>
  <c r="D23" i="1"/>
  <c r="B27" i="1"/>
  <c r="E23" i="1" l="1"/>
  <c r="C24" i="1"/>
  <c r="C25" i="1" s="1"/>
  <c r="B28" i="1"/>
  <c r="D24" i="1" l="1"/>
  <c r="C26" i="1"/>
  <c r="D25" i="1"/>
  <c r="B29" i="1"/>
  <c r="E24" i="1" l="1"/>
  <c r="E25" i="1" s="1"/>
  <c r="G24" i="1"/>
  <c r="C27" i="1"/>
  <c r="D26" i="1"/>
  <c r="B30" i="1"/>
  <c r="E26" i="1" l="1"/>
  <c r="C28" i="1"/>
  <c r="D27" i="1"/>
  <c r="B31" i="1"/>
  <c r="E27" i="1" l="1"/>
  <c r="D28" i="1"/>
  <c r="B32" i="1"/>
  <c r="E28" i="1" l="1"/>
  <c r="C29" i="1"/>
  <c r="C30" i="1" s="1"/>
  <c r="B33" i="1"/>
  <c r="D29" i="1" l="1"/>
  <c r="E29" i="1" s="1"/>
  <c r="C31" i="1"/>
  <c r="D30" i="1"/>
  <c r="B34" i="1"/>
  <c r="E30" i="1" l="1"/>
  <c r="C32" i="1"/>
  <c r="D31" i="1"/>
  <c r="E31" i="1" l="1"/>
  <c r="C33" i="1"/>
  <c r="D32" i="1"/>
  <c r="E32" i="1" l="1"/>
  <c r="C34" i="1"/>
  <c r="D33" i="1"/>
  <c r="E33" i="1" l="1"/>
  <c r="C36" i="1"/>
  <c r="D36" i="1" s="1"/>
  <c r="C38" i="1"/>
  <c r="D38" i="1" s="1"/>
  <c r="C37" i="1"/>
  <c r="D37" i="1" s="1"/>
  <c r="C35" i="1"/>
  <c r="D35" i="1" s="1"/>
  <c r="C40" i="1"/>
  <c r="C39" i="1"/>
  <c r="D34" i="1"/>
  <c r="E34" i="1" l="1"/>
  <c r="E35" i="1" s="1"/>
  <c r="E36" i="1" s="1"/>
  <c r="E37" i="1" s="1"/>
  <c r="E38" i="1" s="1"/>
  <c r="D39" i="1"/>
  <c r="D40" i="1"/>
  <c r="E39" i="1" l="1"/>
  <c r="E40" i="1" s="1"/>
</calcChain>
</file>

<file path=xl/sharedStrings.xml><?xml version="1.0" encoding="utf-8"?>
<sst xmlns="http://schemas.openxmlformats.org/spreadsheetml/2006/main" count="697" uniqueCount="123">
  <si>
    <t>Annual Salary</t>
  </si>
  <si>
    <t>Bi-weekly Pay 26 ppds</t>
  </si>
  <si>
    <t>Bi-weekly Pay 20 ppds</t>
  </si>
  <si>
    <t>Deferred Amount</t>
  </si>
  <si>
    <t>Amount Paid</t>
  </si>
  <si>
    <t>Pay Period Changed</t>
  </si>
  <si>
    <t xml:space="preserve">New Annual Salary </t>
  </si>
  <si>
    <t>Pay Number</t>
  </si>
  <si>
    <t>Bi-Weekly Pay for 20 Pays</t>
  </si>
  <si>
    <t>Bi-Weekly Pay for 26 Pays</t>
  </si>
  <si>
    <t xml:space="preserve">  Health</t>
  </si>
  <si>
    <t xml:space="preserve">  ORP Retirement</t>
  </si>
  <si>
    <t>Total Deductions</t>
  </si>
  <si>
    <t>Net Pay</t>
  </si>
  <si>
    <t>Current</t>
  </si>
  <si>
    <t>Employee Deductions</t>
  </si>
  <si>
    <t>Current 9 Month Bi-Weekly Pay</t>
  </si>
  <si>
    <t>Deferred Pay Accrual Period</t>
  </si>
  <si>
    <t>Deferred Pay Out Period</t>
  </si>
  <si>
    <t>YTD Deferred</t>
  </si>
  <si>
    <t>Amount Earned</t>
  </si>
  <si>
    <t>Deferred Pay Calculator</t>
  </si>
  <si>
    <t xml:space="preserve">Annual Salary field and select a Pay Number from the drop down selection in the Pay </t>
  </si>
  <si>
    <t>Period Changed field.</t>
  </si>
  <si>
    <t>o  To calculate the Amount Paid enter an amount in the Annual Salary field</t>
  </si>
  <si>
    <t xml:space="preserve">o  To calculate the Amount Paid when a salary change occurs enter an amount in the New </t>
  </si>
  <si>
    <t>Current Pay with Double Deductions</t>
  </si>
  <si>
    <t>Bi-weekly less w/h allowances</t>
  </si>
  <si>
    <t>W/H</t>
  </si>
  <si>
    <t>Amt. Over</t>
  </si>
  <si>
    <t>Pre-Tax Deductions</t>
  </si>
  <si>
    <t>I/T related</t>
  </si>
  <si>
    <t>Amount</t>
  </si>
  <si>
    <t>FICA related</t>
  </si>
  <si>
    <t>plus</t>
  </si>
  <si>
    <t>cdb</t>
  </si>
  <si>
    <t>hm1</t>
  </si>
  <si>
    <t>or2</t>
  </si>
  <si>
    <t>lbe</t>
  </si>
  <si>
    <t>If 9mo then factor = 19.5, if 12 mo = 26.1, if 10mo = 21.5</t>
  </si>
  <si>
    <t>Enter Annual Salary:</t>
  </si>
  <si>
    <t>Bi-Weekly Salary</t>
  </si>
  <si>
    <t>Total</t>
  </si>
  <si>
    <t>Enter Number of Allowances:</t>
  </si>
  <si>
    <t>Allocation of Pers. Ex. - Bi-Weekly Payroll (2008 Circ. E, p. 36)</t>
  </si>
  <si>
    <t>Enter Pre Tax Deductions</t>
  </si>
  <si>
    <t>Other Misc Deductions</t>
  </si>
  <si>
    <t>Amount to use in determining which table to use for calculation</t>
  </si>
  <si>
    <t>FICA tax ---- yes (Y) or (N)</t>
  </si>
  <si>
    <t>y</t>
  </si>
  <si>
    <t>Between</t>
  </si>
  <si>
    <t>More than</t>
  </si>
  <si>
    <t>Bi-weekly GROSS less w/h allowances</t>
  </si>
  <si>
    <t xml:space="preserve">Excess over </t>
  </si>
  <si>
    <t>Amount over Excess</t>
  </si>
  <si>
    <t>W/H on excess</t>
  </si>
  <si>
    <t>Base W/H</t>
  </si>
  <si>
    <t>TOTAL W/H</t>
  </si>
  <si>
    <t>GROSS PAY</t>
  </si>
  <si>
    <t>Withholding</t>
  </si>
  <si>
    <t>FICA</t>
  </si>
  <si>
    <t>Family Ins</t>
  </si>
  <si>
    <t>Single Ins</t>
  </si>
  <si>
    <t>Annual Allowance Amount</t>
  </si>
  <si>
    <t>B/W Allow Amt for 26 Pays</t>
  </si>
  <si>
    <t>Annual Table</t>
  </si>
  <si>
    <t>Allowance Amt  for 27 Pays</t>
  </si>
  <si>
    <t>Tax Filing Status from W-4</t>
  </si>
  <si>
    <t># of Allowances Claimed on W-4</t>
  </si>
  <si>
    <t>Health Insurance</t>
  </si>
  <si>
    <t>Other Retirement Accounts</t>
  </si>
  <si>
    <t>Miscellaneous Deductions</t>
  </si>
  <si>
    <t>Pre Tax Insurance</t>
  </si>
  <si>
    <t xml:space="preserve">  Pre Tax Insurance</t>
  </si>
  <si>
    <t xml:space="preserve">  Other Retirement</t>
  </si>
  <si>
    <t xml:space="preserve">  Miscellaneous Deductions</t>
  </si>
  <si>
    <t>Other Retire</t>
  </si>
  <si>
    <t>Pre Tax Ins</t>
  </si>
  <si>
    <t>Health Ins</t>
  </si>
  <si>
    <t>Pre tax Ins</t>
  </si>
  <si>
    <t>ORP EE</t>
  </si>
  <si>
    <t>Other /Retire</t>
  </si>
  <si>
    <t>9 Month Contract Amount</t>
  </si>
  <si>
    <t>Definitions</t>
  </si>
  <si>
    <r>
      <t xml:space="preserve">  </t>
    </r>
    <r>
      <rPr>
        <b/>
        <sz val="11"/>
        <color theme="1"/>
        <rFont val="Calibri"/>
        <family val="2"/>
        <scheme val="minor"/>
      </rPr>
      <t>Current</t>
    </r>
    <r>
      <rPr>
        <sz val="11"/>
        <color theme="1"/>
        <rFont val="Calibri"/>
        <family val="2"/>
        <scheme val="minor"/>
      </rPr>
      <t xml:space="preserve"> - This approximates your current pay </t>
    </r>
  </si>
  <si>
    <r>
      <t xml:space="preserve">  </t>
    </r>
    <r>
      <rPr>
        <b/>
        <sz val="11"/>
        <color theme="1"/>
        <rFont val="Calibri"/>
        <family val="2"/>
        <scheme val="minor"/>
      </rPr>
      <t>Current Pay with Double Deductions</t>
    </r>
    <r>
      <rPr>
        <sz val="11"/>
        <color theme="1"/>
        <rFont val="Calibri"/>
        <family val="2"/>
        <scheme val="minor"/>
      </rPr>
      <t xml:space="preserve"> - This approximates your current pay during the double deduction period of Feb - May</t>
    </r>
  </si>
  <si>
    <r>
      <t xml:space="preserve">  </t>
    </r>
    <r>
      <rPr>
        <b/>
        <sz val="11"/>
        <color theme="1"/>
        <rFont val="Calibri"/>
        <family val="2"/>
        <scheme val="minor"/>
      </rPr>
      <t>Deferred Pay Accrual Period</t>
    </r>
    <r>
      <rPr>
        <sz val="11"/>
        <color theme="1"/>
        <rFont val="Calibri"/>
        <family val="2"/>
        <scheme val="minor"/>
      </rPr>
      <t xml:space="preserve"> - This approximates your pay from August - May if you participate in deferred pay </t>
    </r>
  </si>
  <si>
    <r>
      <t xml:space="preserve">  </t>
    </r>
    <r>
      <rPr>
        <b/>
        <sz val="11"/>
        <color theme="1"/>
        <rFont val="Calibri"/>
        <family val="2"/>
        <scheme val="minor"/>
      </rPr>
      <t>Deferred Pay Out Period</t>
    </r>
    <r>
      <rPr>
        <sz val="11"/>
        <color theme="1"/>
        <rFont val="Calibri"/>
        <family val="2"/>
        <scheme val="minor"/>
      </rPr>
      <t xml:space="preserve"> - This approximates your pay from May - August if you participate in deferred pay</t>
    </r>
  </si>
  <si>
    <t>Bi-Weekly  Gross Pay</t>
  </si>
  <si>
    <t>Deductions from Your Pay</t>
  </si>
  <si>
    <t>Billy Pollard, 850-474-3025 or wpollard@uwf.edu.</t>
  </si>
  <si>
    <t xml:space="preserve">This calculator is designed to assist you in determining your estimated net pay  based on the different scenarios presented below. </t>
  </si>
  <si>
    <t>To calculate your estimated net pay input the requested information in the highlighted fields.</t>
  </si>
  <si>
    <t>Aug - May</t>
  </si>
  <si>
    <t>Feb - May</t>
  </si>
  <si>
    <t>Aug - Jan</t>
  </si>
  <si>
    <t>May - Aug</t>
  </si>
  <si>
    <t>3% Retirement</t>
  </si>
  <si>
    <t>3% Retirement Contribution</t>
  </si>
  <si>
    <t>*If you are a Non Resident Alien for tax purposes please do not use this calculator.</t>
  </si>
  <si>
    <t xml:space="preserve">  Fed Taxes**</t>
  </si>
  <si>
    <t xml:space="preserve">  SS/MED Taxes**</t>
  </si>
  <si>
    <t>*Estimated Net Pay Calculator</t>
  </si>
  <si>
    <t>If you are unsure what to input in the highlighted fields the information is on your paystub that is emailed to you each payday.</t>
  </si>
  <si>
    <t>26 Pay Days</t>
  </si>
  <si>
    <t>$88 - $443</t>
  </si>
  <si>
    <t>$443 - $1.528</t>
  </si>
  <si>
    <t>$3,579 - $7,369</t>
  </si>
  <si>
    <t>$7,369 - $15,915</t>
  </si>
  <si>
    <t>$1,528 - $3,579</t>
  </si>
  <si>
    <t>$331 - $1,040</t>
  </si>
  <si>
    <t>$1,040 - $3,211</t>
  </si>
  <si>
    <t>$3,211 - $6,146</t>
  </si>
  <si>
    <t>$6,146 - $9,194</t>
  </si>
  <si>
    <t>$9,194 - $16,157</t>
  </si>
  <si>
    <t>Voluntary ORP Contribution</t>
  </si>
  <si>
    <t>wpollard@uwf.edu.</t>
  </si>
  <si>
    <t>If you have questions about the information in the spreadsheet please contact Billy Pollard, 850-474-3025 or</t>
  </si>
  <si>
    <t>2017 Income Tax Withholding Payment Tables - MARIED persons</t>
  </si>
  <si>
    <t>2017 Income Tax Withholding Payment Tables - SINGLE persons</t>
  </si>
  <si>
    <t xml:space="preserve">If you have questions about the information in the spreadsheet please contact </t>
  </si>
  <si>
    <t>**Tax tables are subject to change each calendar year so the tax calculations are only valid through 2017.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</si>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</sst>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_(&quot;$&quot;* #,##0_);_(&quot;$&quot;* \(#,##0\);_(&quot;$&quot;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/>
      <sz val="8"/>
      <name val="Times New Roman"/>
      <family val="1"/>
    </font>
    <font>
      <b/>
      <u/>
      <sz val="10"/>
      <name val="Times New Roman"/>
      <family val="1"/>
    </font>
    <font>
      <b/>
      <u val="singleAccounting"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2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/>
    <xf numFmtId="39" fontId="0" fillId="0" borderId="0" xfId="1" applyNumberFormat="1" applyFont="1"/>
    <xf numFmtId="39" fontId="0" fillId="0" borderId="0" xfId="0" applyNumberFormat="1"/>
    <xf numFmtId="39" fontId="0" fillId="0" borderId="1" xfId="0" applyNumberFormat="1" applyBorder="1"/>
    <xf numFmtId="39" fontId="0" fillId="0" borderId="0" xfId="0" applyNumberFormat="1" applyBorder="1"/>
    <xf numFmtId="39" fontId="0" fillId="0" borderId="2" xfId="0" applyNumberFormat="1" applyBorder="1"/>
    <xf numFmtId="0" fontId="0" fillId="0" borderId="1" xfId="0" applyBorder="1" applyAlignment="1">
      <alignment horizontal="center" wrapText="1"/>
    </xf>
    <xf numFmtId="0" fontId="0" fillId="0" borderId="0" xfId="0" quotePrefix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4" fillId="0" borderId="0" xfId="2" applyFont="1"/>
    <xf numFmtId="0" fontId="5" fillId="0" borderId="0" xfId="2" applyFont="1"/>
    <xf numFmtId="44" fontId="5" fillId="0" borderId="0" xfId="3" applyFont="1"/>
    <xf numFmtId="0" fontId="7" fillId="2" borderId="3" xfId="2" applyFont="1" applyFill="1" applyBorder="1"/>
    <xf numFmtId="0" fontId="7" fillId="2" borderId="4" xfId="2" applyFont="1" applyFill="1" applyBorder="1"/>
    <xf numFmtId="0" fontId="8" fillId="2" borderId="4" xfId="2" applyFont="1" applyFill="1" applyBorder="1" applyAlignment="1">
      <alignment horizontal="center"/>
    </xf>
    <xf numFmtId="0" fontId="7" fillId="0" borderId="6" xfId="2" applyFont="1" applyBorder="1"/>
    <xf numFmtId="0" fontId="5" fillId="0" borderId="4" xfId="2" applyFont="1" applyBorder="1"/>
    <xf numFmtId="0" fontId="5" fillId="0" borderId="5" xfId="2" applyFont="1" applyBorder="1"/>
    <xf numFmtId="164" fontId="5" fillId="3" borderId="7" xfId="3" applyNumberFormat="1" applyFont="1" applyFill="1" applyBorder="1" applyAlignment="1">
      <alignment horizontal="right"/>
    </xf>
    <xf numFmtId="164" fontId="5" fillId="3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/>
    <xf numFmtId="9" fontId="5" fillId="3" borderId="0" xfId="2" applyNumberFormat="1" applyFont="1" applyFill="1" applyBorder="1"/>
    <xf numFmtId="164" fontId="5" fillId="3" borderId="8" xfId="3" applyNumberFormat="1" applyFont="1" applyFill="1" applyBorder="1"/>
    <xf numFmtId="0" fontId="5" fillId="0" borderId="9" xfId="2" applyFont="1" applyBorder="1"/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8" fillId="0" borderId="8" xfId="2" applyFont="1" applyBorder="1" applyAlignment="1">
      <alignment horizontal="center"/>
    </xf>
    <xf numFmtId="164" fontId="5" fillId="4" borderId="7" xfId="3" applyNumberFormat="1" applyFont="1" applyFill="1" applyBorder="1" applyAlignment="1">
      <alignment horizontal="right"/>
    </xf>
    <xf numFmtId="164" fontId="5" fillId="4" borderId="0" xfId="3" applyNumberFormat="1" applyFont="1" applyFill="1" applyBorder="1" applyAlignment="1">
      <alignment horizontal="right"/>
    </xf>
    <xf numFmtId="165" fontId="5" fillId="2" borderId="0" xfId="3" applyNumberFormat="1" applyFont="1" applyFill="1" applyBorder="1" applyAlignment="1">
      <alignment horizontal="right"/>
    </xf>
    <xf numFmtId="9" fontId="5" fillId="2" borderId="0" xfId="2" applyNumberFormat="1" applyFont="1" applyFill="1" applyBorder="1"/>
    <xf numFmtId="164" fontId="5" fillId="2" borderId="8" xfId="3" applyNumberFormat="1" applyFont="1" applyFill="1" applyBorder="1"/>
    <xf numFmtId="0" fontId="5" fillId="0" borderId="9" xfId="2" applyFont="1" applyBorder="1" applyAlignment="1">
      <alignment horizontal="center"/>
    </xf>
    <xf numFmtId="165" fontId="5" fillId="3" borderId="0" xfId="3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8" xfId="2" applyFont="1" applyBorder="1"/>
    <xf numFmtId="165" fontId="5" fillId="5" borderId="0" xfId="3" applyNumberFormat="1" applyFont="1" applyFill="1" applyBorder="1" applyAlignment="1">
      <alignment horizontal="right"/>
    </xf>
    <xf numFmtId="9" fontId="5" fillId="5" borderId="0" xfId="2" applyNumberFormat="1" applyFont="1" applyFill="1" applyBorder="1"/>
    <xf numFmtId="164" fontId="5" fillId="5" borderId="8" xfId="3" applyNumberFormat="1" applyFont="1" applyFill="1" applyBorder="1"/>
    <xf numFmtId="164" fontId="5" fillId="4" borderId="11" xfId="3" applyNumberFormat="1" applyFont="1" applyFill="1" applyBorder="1" applyAlignment="1">
      <alignment horizontal="right"/>
    </xf>
    <xf numFmtId="164" fontId="5" fillId="4" borderId="12" xfId="3" applyNumberFormat="1" applyFont="1" applyFill="1" applyBorder="1" applyAlignment="1">
      <alignment horizontal="right"/>
    </xf>
    <xf numFmtId="165" fontId="5" fillId="4" borderId="12" xfId="3" applyNumberFormat="1" applyFont="1" applyFill="1" applyBorder="1" applyAlignment="1">
      <alignment horizontal="right"/>
    </xf>
    <xf numFmtId="166" fontId="5" fillId="4" borderId="12" xfId="2" applyNumberFormat="1" applyFont="1" applyFill="1" applyBorder="1"/>
    <xf numFmtId="164" fontId="5" fillId="4" borderId="13" xfId="3" applyNumberFormat="1" applyFont="1" applyFill="1" applyBorder="1"/>
    <xf numFmtId="0" fontId="5" fillId="0" borderId="1" xfId="2" applyFont="1" applyBorder="1"/>
    <xf numFmtId="0" fontId="5" fillId="0" borderId="0" xfId="2" applyFont="1" applyAlignment="1">
      <alignment horizontal="right"/>
    </xf>
    <xf numFmtId="44" fontId="10" fillId="6" borderId="14" xfId="3" applyFont="1" applyFill="1" applyBorder="1"/>
    <xf numFmtId="0" fontId="5" fillId="0" borderId="15" xfId="2" applyFont="1" applyBorder="1" applyAlignment="1">
      <alignment horizontal="center"/>
    </xf>
    <xf numFmtId="0" fontId="5" fillId="0" borderId="12" xfId="2" applyFont="1" applyBorder="1"/>
    <xf numFmtId="0" fontId="5" fillId="0" borderId="16" xfId="2" applyFont="1" applyBorder="1"/>
    <xf numFmtId="0" fontId="10" fillId="0" borderId="0" xfId="2" applyFont="1" applyFill="1" applyBorder="1"/>
    <xf numFmtId="0" fontId="10" fillId="6" borderId="14" xfId="2" applyFont="1" applyFill="1" applyBorder="1" applyAlignment="1">
      <alignment horizontal="center"/>
    </xf>
    <xf numFmtId="44" fontId="5" fillId="0" borderId="0" xfId="2" applyNumberFormat="1" applyFont="1"/>
    <xf numFmtId="44" fontId="10" fillId="0" borderId="17" xfId="2" applyNumberFormat="1" applyFont="1" applyBorder="1"/>
    <xf numFmtId="0" fontId="11" fillId="0" borderId="0" xfId="2" applyFont="1"/>
    <xf numFmtId="0" fontId="5" fillId="3" borderId="0" xfId="2" applyFont="1" applyFill="1"/>
    <xf numFmtId="0" fontId="5" fillId="3" borderId="0" xfId="2" applyFont="1" applyFill="1" applyAlignment="1">
      <alignment horizontal="center"/>
    </xf>
    <xf numFmtId="0" fontId="10" fillId="0" borderId="1" xfId="2" applyFont="1" applyBorder="1" applyAlignment="1">
      <alignment horizontal="center"/>
    </xf>
    <xf numFmtId="44" fontId="5" fillId="0" borderId="0" xfId="3" applyFont="1" applyAlignment="1">
      <alignment horizontal="center"/>
    </xf>
    <xf numFmtId="6" fontId="5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44" fontId="10" fillId="0" borderId="0" xfId="3" applyFont="1" applyAlignment="1">
      <alignment horizontal="center"/>
    </xf>
    <xf numFmtId="44" fontId="10" fillId="6" borderId="14" xfId="2" applyNumberFormat="1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44" fontId="12" fillId="0" borderId="0" xfId="3" applyFont="1" applyAlignment="1">
      <alignment horizontal="center"/>
    </xf>
    <xf numFmtId="44" fontId="10" fillId="0" borderId="0" xfId="2" applyNumberFormat="1" applyFont="1" applyFill="1" applyBorder="1" applyAlignment="1">
      <alignment horizontal="center"/>
    </xf>
    <xf numFmtId="44" fontId="5" fillId="0" borderId="18" xfId="3" applyFont="1" applyFill="1" applyBorder="1"/>
    <xf numFmtId="44" fontId="5" fillId="0" borderId="0" xfId="3" applyFont="1" applyFill="1" applyBorder="1"/>
    <xf numFmtId="44" fontId="5" fillId="0" borderId="18" xfId="3" applyFont="1" applyBorder="1"/>
    <xf numFmtId="44" fontId="5" fillId="0" borderId="0" xfId="3" applyFont="1" applyBorder="1"/>
    <xf numFmtId="44" fontId="5" fillId="0" borderId="0" xfId="3" applyFont="1" applyFill="1"/>
    <xf numFmtId="44" fontId="5" fillId="0" borderId="1" xfId="3" applyFont="1" applyFill="1" applyBorder="1"/>
    <xf numFmtId="164" fontId="5" fillId="0" borderId="0" xfId="3" applyNumberFormat="1" applyFont="1"/>
    <xf numFmtId="44" fontId="10" fillId="2" borderId="14" xfId="3" applyFont="1" applyFill="1" applyBorder="1"/>
    <xf numFmtId="44" fontId="10" fillId="0" borderId="0" xfId="3" applyFont="1" applyBorder="1"/>
    <xf numFmtId="44" fontId="10" fillId="2" borderId="14" xfId="2" applyNumberFormat="1" applyFont="1" applyFill="1" applyBorder="1"/>
    <xf numFmtId="44" fontId="10" fillId="0" borderId="0" xfId="2" applyNumberFormat="1" applyFont="1" applyFill="1" applyBorder="1"/>
    <xf numFmtId="44" fontId="5" fillId="0" borderId="0" xfId="2" applyNumberFormat="1" applyFont="1" applyBorder="1"/>
    <xf numFmtId="44" fontId="10" fillId="0" borderId="0" xfId="2" applyNumberFormat="1" applyFont="1" applyBorder="1"/>
    <xf numFmtId="44" fontId="10" fillId="2" borderId="19" xfId="2" applyNumberFormat="1" applyFont="1" applyFill="1" applyBorder="1"/>
    <xf numFmtId="43" fontId="5" fillId="0" borderId="0" xfId="4" applyFont="1"/>
    <xf numFmtId="43" fontId="5" fillId="0" borderId="0" xfId="2" applyNumberFormat="1" applyFont="1"/>
    <xf numFmtId="9" fontId="5" fillId="0" borderId="0" xfId="2" applyNumberFormat="1" applyFont="1"/>
    <xf numFmtId="9" fontId="5" fillId="0" borderId="0" xfId="3" applyNumberFormat="1" applyFont="1" applyBorder="1"/>
    <xf numFmtId="39" fontId="5" fillId="0" borderId="0" xfId="2" applyNumberFormat="1" applyFont="1" applyBorder="1"/>
    <xf numFmtId="39" fontId="5" fillId="0" borderId="10" xfId="2" applyNumberFormat="1" applyFont="1" applyBorder="1"/>
    <xf numFmtId="37" fontId="10" fillId="6" borderId="14" xfId="2" applyNumberFormat="1" applyFont="1" applyFill="1" applyBorder="1" applyAlignment="1">
      <alignment horizontal="center"/>
    </xf>
    <xf numFmtId="39" fontId="5" fillId="0" borderId="0" xfId="2" applyNumberFormat="1" applyFont="1"/>
    <xf numFmtId="39" fontId="10" fillId="6" borderId="14" xfId="2" applyNumberFormat="1" applyFont="1" applyFill="1" applyBorder="1" applyAlignment="1">
      <alignment horizontal="center"/>
    </xf>
    <xf numFmtId="4" fontId="5" fillId="0" borderId="12" xfId="2" applyNumberFormat="1" applyFont="1" applyBorder="1"/>
    <xf numFmtId="4" fontId="5" fillId="0" borderId="16" xfId="2" applyNumberFormat="1" applyFont="1" applyBorder="1"/>
    <xf numFmtId="39" fontId="0" fillId="5" borderId="0" xfId="1" applyNumberFormat="1" applyFont="1" applyFill="1" applyProtection="1">
      <protection locked="0"/>
    </xf>
    <xf numFmtId="10" fontId="0" fillId="5" borderId="0" xfId="0" applyNumberFormat="1" applyFill="1" applyProtection="1">
      <protection locked="0"/>
    </xf>
    <xf numFmtId="39" fontId="0" fillId="5" borderId="0" xfId="0" applyNumberFormat="1" applyFill="1" applyProtection="1">
      <protection locked="0"/>
    </xf>
    <xf numFmtId="39" fontId="0" fillId="0" borderId="0" xfId="1" applyNumberFormat="1" applyFont="1" applyFill="1" applyProtection="1">
      <protection locked="0"/>
    </xf>
    <xf numFmtId="0" fontId="0" fillId="0" borderId="0" xfId="0" applyAlignment="1">
      <alignment horizontal="left" indent="1"/>
    </xf>
    <xf numFmtId="37" fontId="0" fillId="0" borderId="0" xfId="0" applyNumberFormat="1" applyFill="1" applyProtection="1">
      <protection locked="0"/>
    </xf>
    <xf numFmtId="37" fontId="0" fillId="0" borderId="0" xfId="0" applyNumberFormat="1" applyAlignment="1">
      <alignment horizontal="center"/>
    </xf>
    <xf numFmtId="40" fontId="13" fillId="0" borderId="0" xfId="4" applyNumberFormat="1" applyFont="1"/>
    <xf numFmtId="39" fontId="0" fillId="0" borderId="0" xfId="0" applyNumberFormat="1" applyFill="1" applyProtection="1">
      <protection locked="0"/>
    </xf>
    <xf numFmtId="39" fontId="0" fillId="5" borderId="0" xfId="0" applyNumberFormat="1" applyFill="1" applyAlignment="1" applyProtection="1">
      <alignment horizontal="center"/>
      <protection locked="0"/>
    </xf>
    <xf numFmtId="0" fontId="7" fillId="2" borderId="6" xfId="2" applyFont="1" applyFill="1" applyBorder="1"/>
    <xf numFmtId="164" fontId="5" fillId="3" borderId="9" xfId="3" applyNumberFormat="1" applyFont="1" applyFill="1" applyBorder="1" applyAlignment="1">
      <alignment horizontal="right"/>
    </xf>
    <xf numFmtId="164" fontId="5" fillId="3" borderId="15" xfId="3" applyNumberFormat="1" applyFont="1" applyFill="1" applyBorder="1" applyAlignment="1">
      <alignment horizontal="right"/>
    </xf>
    <xf numFmtId="164" fontId="5" fillId="3" borderId="12" xfId="3" applyNumberFormat="1" applyFont="1" applyFill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44" fontId="5" fillId="0" borderId="0" xfId="3" applyFont="1" applyBorder="1" applyAlignment="1">
      <alignment horizontal="center"/>
    </xf>
    <xf numFmtId="37" fontId="0" fillId="5" borderId="0" xfId="0" applyNumberFormat="1" applyFill="1" applyAlignment="1" applyProtection="1">
      <alignment horizontal="center"/>
      <protection locked="0"/>
    </xf>
    <xf numFmtId="0" fontId="14" fillId="0" borderId="0" xfId="5"/>
    <xf numFmtId="0" fontId="2" fillId="0" borderId="0" xfId="0" applyFont="1" applyAlignment="1">
      <alignment horizontal="center"/>
    </xf>
    <xf numFmtId="4" fontId="0" fillId="5" borderId="0" xfId="0" applyNumberFormat="1" applyFill="1" applyProtection="1">
      <protection locked="0"/>
    </xf>
    <xf numFmtId="0" fontId="0" fillId="5" borderId="0" xfId="0" applyFill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44" fontId="9" fillId="2" borderId="4" xfId="3" applyFont="1" applyFill="1" applyBorder="1" applyAlignment="1">
      <alignment horizontal="center"/>
    </xf>
    <xf numFmtId="44" fontId="9" fillId="2" borderId="5" xfId="3" applyFont="1" applyFill="1" applyBorder="1" applyAlignment="1">
      <alignment horizontal="center"/>
    </xf>
  </cellXfs>
  <cellStyles count="6">
    <cellStyle name="Comma" xfId="1" builtinId="3"/>
    <cellStyle name="Comma 2" xfId="4"/>
    <cellStyle name="Currency 2" xfId="3"/>
    <cellStyle name="Hyperlink" xfId="5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pollard@uwf.edu.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Normal="100" workbookViewId="0">
      <selection activeCell="B8" sqref="B8"/>
    </sheetView>
  </sheetViews>
  <sheetFormatPr defaultRowHeight="15" x14ac:dyDescent="0.25"/>
  <cols>
    <col min="1" max="1" width="20.85546875" bestFit="1" customWidth="1"/>
    <col min="2" max="2" width="14.85546875" style="1" bestFit="1" customWidth="1"/>
    <col min="3" max="3" width="12.42578125" bestFit="1" customWidth="1"/>
    <col min="4" max="4" width="20.28515625" bestFit="1" customWidth="1"/>
    <col min="5" max="5" width="12.7109375" bestFit="1" customWidth="1"/>
    <col min="7" max="7" width="11" bestFit="1" customWidth="1"/>
    <col min="8" max="8" width="17" bestFit="1" customWidth="1"/>
    <col min="9" max="9" width="10.5703125" bestFit="1" customWidth="1"/>
  </cols>
  <sheetData>
    <row r="1" spans="1:5" x14ac:dyDescent="0.25">
      <c r="A1" s="124" t="s">
        <v>21</v>
      </c>
      <c r="B1" s="124"/>
      <c r="C1" s="124"/>
      <c r="D1" s="124"/>
      <c r="E1" s="124"/>
    </row>
    <row r="2" spans="1:5" x14ac:dyDescent="0.25">
      <c r="A2" s="16"/>
      <c r="B2" s="12"/>
      <c r="C2" s="12"/>
      <c r="D2" s="12"/>
      <c r="E2" s="12"/>
    </row>
    <row r="3" spans="1:5" x14ac:dyDescent="0.25">
      <c r="A3" s="3" t="s">
        <v>24</v>
      </c>
      <c r="B3" s="12"/>
      <c r="C3" s="12"/>
      <c r="D3" s="12"/>
      <c r="E3" s="12"/>
    </row>
    <row r="4" spans="1:5" x14ac:dyDescent="0.25">
      <c r="A4" s="3" t="s">
        <v>25</v>
      </c>
      <c r="B4" s="12"/>
      <c r="C4" s="12"/>
      <c r="D4" s="12"/>
      <c r="E4" s="12"/>
    </row>
    <row r="5" spans="1:5" x14ac:dyDescent="0.25">
      <c r="A5" t="s">
        <v>22</v>
      </c>
    </row>
    <row r="6" spans="1:5" x14ac:dyDescent="0.25">
      <c r="A6" t="s">
        <v>23</v>
      </c>
    </row>
    <row r="8" spans="1:5" x14ac:dyDescent="0.25">
      <c r="A8" s="14" t="s">
        <v>0</v>
      </c>
      <c r="B8" s="122">
        <v>156000</v>
      </c>
      <c r="D8" s="13" t="s">
        <v>6</v>
      </c>
      <c r="E8" s="122"/>
    </row>
    <row r="9" spans="1:5" x14ac:dyDescent="0.25">
      <c r="D9" s="13" t="s">
        <v>5</v>
      </c>
      <c r="E9" s="123"/>
    </row>
    <row r="10" spans="1:5" x14ac:dyDescent="0.25">
      <c r="A10" s="14" t="s">
        <v>1</v>
      </c>
      <c r="B10" s="1">
        <f>B8/26</f>
        <v>6000</v>
      </c>
      <c r="E10" s="1"/>
    </row>
    <row r="11" spans="1:5" x14ac:dyDescent="0.25">
      <c r="A11" s="14" t="s">
        <v>2</v>
      </c>
      <c r="B11" s="1">
        <f>B8/20</f>
        <v>7800</v>
      </c>
      <c r="D11" s="14" t="s">
        <v>2</v>
      </c>
      <c r="E11" s="1">
        <f>E8/20</f>
        <v>0</v>
      </c>
    </row>
    <row r="14" spans="1:5" x14ac:dyDescent="0.25">
      <c r="A14" s="121" t="s">
        <v>7</v>
      </c>
      <c r="B14" s="15" t="s">
        <v>20</v>
      </c>
      <c r="C14" s="121" t="s">
        <v>4</v>
      </c>
      <c r="D14" s="121" t="s">
        <v>3</v>
      </c>
      <c r="E14" s="121" t="s">
        <v>19</v>
      </c>
    </row>
    <row r="15" spans="1:5" x14ac:dyDescent="0.25">
      <c r="A15" s="2">
        <v>1</v>
      </c>
      <c r="B15" s="6">
        <f>B11</f>
        <v>7800</v>
      </c>
      <c r="C15" s="6">
        <f>B10</f>
        <v>6000</v>
      </c>
      <c r="D15" s="6">
        <f>B15-C15</f>
        <v>1800</v>
      </c>
      <c r="E15" s="6">
        <f>D15</f>
        <v>1800</v>
      </c>
    </row>
    <row r="16" spans="1:5" x14ac:dyDescent="0.25">
      <c r="A16" s="2">
        <v>2</v>
      </c>
      <c r="B16" s="6">
        <f t="shared" ref="B16:B34" si="0">IF($E$9=A16,$E$11,IF(B15=$E$11,B15,$B$11))</f>
        <v>7800</v>
      </c>
      <c r="C16" s="6">
        <f t="shared" ref="C16:C20" si="1">IF(B16=B15,C15,SUM(D15*(A16-1)+B16*(20-A15))/(26-A15))</f>
        <v>6000</v>
      </c>
      <c r="D16" s="6">
        <f>B16-C16</f>
        <v>1800</v>
      </c>
      <c r="E16" s="6">
        <f>E15+D16</f>
        <v>3600</v>
      </c>
    </row>
    <row r="17" spans="1:13" x14ac:dyDescent="0.25">
      <c r="A17" s="2">
        <v>3</v>
      </c>
      <c r="B17" s="6">
        <f t="shared" si="0"/>
        <v>7800</v>
      </c>
      <c r="C17" s="6">
        <f t="shared" si="1"/>
        <v>6000</v>
      </c>
      <c r="D17" s="6">
        <f t="shared" ref="D17:D40" si="2">B17-C17</f>
        <v>1800</v>
      </c>
      <c r="E17" s="6">
        <f>E16+D17</f>
        <v>5400</v>
      </c>
    </row>
    <row r="18" spans="1:13" x14ac:dyDescent="0.25">
      <c r="A18" s="2">
        <v>4</v>
      </c>
      <c r="B18" s="6">
        <f t="shared" si="0"/>
        <v>7800</v>
      </c>
      <c r="C18" s="6">
        <f t="shared" si="1"/>
        <v>6000</v>
      </c>
      <c r="D18" s="6">
        <f t="shared" si="2"/>
        <v>1800</v>
      </c>
      <c r="E18" s="6">
        <f t="shared" ref="E18:E40" si="3">E17+D18</f>
        <v>7200</v>
      </c>
      <c r="G18" s="11"/>
      <c r="H18" s="11"/>
      <c r="I18" s="11"/>
      <c r="J18" s="11"/>
      <c r="M18" s="11"/>
    </row>
    <row r="19" spans="1:13" x14ac:dyDescent="0.25">
      <c r="A19" s="2">
        <v>5</v>
      </c>
      <c r="B19" s="6">
        <f t="shared" si="0"/>
        <v>7800</v>
      </c>
      <c r="C19" s="6">
        <f t="shared" si="1"/>
        <v>6000</v>
      </c>
      <c r="D19" s="6">
        <f t="shared" si="2"/>
        <v>1800</v>
      </c>
      <c r="E19" s="6">
        <f t="shared" si="3"/>
        <v>9000</v>
      </c>
    </row>
    <row r="20" spans="1:13" x14ac:dyDescent="0.25">
      <c r="A20" s="2">
        <v>6</v>
      </c>
      <c r="B20" s="6">
        <f t="shared" si="0"/>
        <v>7800</v>
      </c>
      <c r="C20" s="6">
        <f t="shared" si="1"/>
        <v>6000</v>
      </c>
      <c r="D20" s="6">
        <f t="shared" si="2"/>
        <v>1800</v>
      </c>
      <c r="E20" s="6">
        <f t="shared" si="3"/>
        <v>10800</v>
      </c>
    </row>
    <row r="21" spans="1:13" x14ac:dyDescent="0.25">
      <c r="A21" s="2">
        <v>7</v>
      </c>
      <c r="B21" s="6">
        <f t="shared" si="0"/>
        <v>7800</v>
      </c>
      <c r="C21" s="6">
        <f t="shared" ref="C21:C27" si="4">IF(B21=B20,C20,SUM(D20*(A21-1)+B21*(20-A20))/(26-A20))</f>
        <v>6000</v>
      </c>
      <c r="D21" s="6">
        <f t="shared" si="2"/>
        <v>1800</v>
      </c>
      <c r="E21" s="6">
        <f t="shared" si="3"/>
        <v>12600</v>
      </c>
    </row>
    <row r="22" spans="1:13" x14ac:dyDescent="0.25">
      <c r="A22" s="2">
        <v>8</v>
      </c>
      <c r="B22" s="6">
        <f t="shared" si="0"/>
        <v>7800</v>
      </c>
      <c r="C22" s="6">
        <f t="shared" si="4"/>
        <v>6000</v>
      </c>
      <c r="D22" s="6">
        <f t="shared" si="2"/>
        <v>1800</v>
      </c>
      <c r="E22" s="6">
        <f t="shared" si="3"/>
        <v>14400</v>
      </c>
    </row>
    <row r="23" spans="1:13" x14ac:dyDescent="0.25">
      <c r="A23" s="2">
        <v>9</v>
      </c>
      <c r="B23" s="6">
        <f t="shared" si="0"/>
        <v>7800</v>
      </c>
      <c r="C23" s="6">
        <f t="shared" si="4"/>
        <v>6000</v>
      </c>
      <c r="D23" s="6">
        <f t="shared" si="2"/>
        <v>1800</v>
      </c>
      <c r="E23" s="6">
        <f t="shared" si="3"/>
        <v>16200</v>
      </c>
    </row>
    <row r="24" spans="1:13" x14ac:dyDescent="0.25">
      <c r="A24" s="2">
        <v>10</v>
      </c>
      <c r="B24" s="6">
        <f t="shared" si="0"/>
        <v>7800</v>
      </c>
      <c r="C24" s="6">
        <f t="shared" si="4"/>
        <v>6000</v>
      </c>
      <c r="D24" s="6">
        <f t="shared" si="2"/>
        <v>1800</v>
      </c>
      <c r="E24" s="6">
        <f t="shared" si="3"/>
        <v>18000</v>
      </c>
      <c r="G24" s="6">
        <f>SUM(D15:D24)</f>
        <v>18000</v>
      </c>
    </row>
    <row r="25" spans="1:13" x14ac:dyDescent="0.25">
      <c r="A25" s="2">
        <v>11</v>
      </c>
      <c r="B25" s="6">
        <f t="shared" si="0"/>
        <v>7800</v>
      </c>
      <c r="C25" s="6">
        <f t="shared" si="4"/>
        <v>6000</v>
      </c>
      <c r="D25" s="6">
        <f t="shared" si="2"/>
        <v>1800</v>
      </c>
      <c r="E25" s="6">
        <f t="shared" si="3"/>
        <v>19800</v>
      </c>
    </row>
    <row r="26" spans="1:13" x14ac:dyDescent="0.25">
      <c r="A26" s="2">
        <v>12</v>
      </c>
      <c r="B26" s="6">
        <f t="shared" si="0"/>
        <v>7800</v>
      </c>
      <c r="C26" s="6">
        <f t="shared" si="4"/>
        <v>6000</v>
      </c>
      <c r="D26" s="6">
        <f t="shared" si="2"/>
        <v>1800</v>
      </c>
      <c r="E26" s="6">
        <f t="shared" si="3"/>
        <v>21600</v>
      </c>
    </row>
    <row r="27" spans="1:13" x14ac:dyDescent="0.25">
      <c r="A27" s="2">
        <v>13</v>
      </c>
      <c r="B27" s="6">
        <f t="shared" si="0"/>
        <v>7800</v>
      </c>
      <c r="C27" s="6">
        <f t="shared" si="4"/>
        <v>6000</v>
      </c>
      <c r="D27" s="6">
        <f t="shared" si="2"/>
        <v>1800</v>
      </c>
      <c r="E27" s="6">
        <f t="shared" si="3"/>
        <v>23400</v>
      </c>
    </row>
    <row r="28" spans="1:13" x14ac:dyDescent="0.25">
      <c r="A28" s="2">
        <v>14</v>
      </c>
      <c r="B28" s="6">
        <f t="shared" si="0"/>
        <v>7800</v>
      </c>
      <c r="C28" s="6">
        <f t="shared" ref="C28:C34" si="5">IF(B28=B27,C27,SUM(D27*(A28-1)+B28*(20-A27))/(26-A27))</f>
        <v>6000</v>
      </c>
      <c r="D28" s="6">
        <f t="shared" si="2"/>
        <v>1800</v>
      </c>
      <c r="E28" s="6">
        <f t="shared" si="3"/>
        <v>25200</v>
      </c>
    </row>
    <row r="29" spans="1:13" x14ac:dyDescent="0.25">
      <c r="A29" s="2">
        <v>15</v>
      </c>
      <c r="B29" s="6">
        <f t="shared" si="0"/>
        <v>7800</v>
      </c>
      <c r="C29" s="6">
        <f t="shared" si="5"/>
        <v>6000</v>
      </c>
      <c r="D29" s="6">
        <f t="shared" si="2"/>
        <v>1800</v>
      </c>
      <c r="E29" s="6">
        <f t="shared" si="3"/>
        <v>27000</v>
      </c>
    </row>
    <row r="30" spans="1:13" x14ac:dyDescent="0.25">
      <c r="A30" s="2">
        <v>16</v>
      </c>
      <c r="B30" s="6">
        <f t="shared" si="0"/>
        <v>7800</v>
      </c>
      <c r="C30" s="6">
        <f t="shared" si="5"/>
        <v>6000</v>
      </c>
      <c r="D30" s="6">
        <f t="shared" si="2"/>
        <v>1800</v>
      </c>
      <c r="E30" s="6">
        <f t="shared" si="3"/>
        <v>28800</v>
      </c>
    </row>
    <row r="31" spans="1:13" x14ac:dyDescent="0.25">
      <c r="A31" s="2">
        <v>17</v>
      </c>
      <c r="B31" s="6">
        <f t="shared" si="0"/>
        <v>7800</v>
      </c>
      <c r="C31" s="6">
        <f t="shared" si="5"/>
        <v>6000</v>
      </c>
      <c r="D31" s="6">
        <f t="shared" si="2"/>
        <v>1800</v>
      </c>
      <c r="E31" s="6">
        <f t="shared" si="3"/>
        <v>30600</v>
      </c>
    </row>
    <row r="32" spans="1:13" x14ac:dyDescent="0.25">
      <c r="A32" s="2">
        <v>18</v>
      </c>
      <c r="B32" s="6">
        <f t="shared" si="0"/>
        <v>7800</v>
      </c>
      <c r="C32" s="6">
        <f t="shared" si="5"/>
        <v>6000</v>
      </c>
      <c r="D32" s="6">
        <f t="shared" si="2"/>
        <v>1800</v>
      </c>
      <c r="E32" s="6">
        <f t="shared" si="3"/>
        <v>32400</v>
      </c>
    </row>
    <row r="33" spans="1:5" x14ac:dyDescent="0.25">
      <c r="A33" s="2">
        <v>19</v>
      </c>
      <c r="B33" s="6">
        <f t="shared" si="0"/>
        <v>7800</v>
      </c>
      <c r="C33" s="6">
        <f t="shared" si="5"/>
        <v>6000</v>
      </c>
      <c r="D33" s="6">
        <f t="shared" si="2"/>
        <v>1800</v>
      </c>
      <c r="E33" s="6">
        <f t="shared" si="3"/>
        <v>34200</v>
      </c>
    </row>
    <row r="34" spans="1:5" x14ac:dyDescent="0.25">
      <c r="A34" s="2">
        <v>20</v>
      </c>
      <c r="B34" s="6">
        <f t="shared" si="0"/>
        <v>7800</v>
      </c>
      <c r="C34" s="6">
        <f t="shared" si="5"/>
        <v>6000</v>
      </c>
      <c r="D34" s="6">
        <f t="shared" si="2"/>
        <v>1800</v>
      </c>
      <c r="E34" s="6">
        <f t="shared" si="3"/>
        <v>36000</v>
      </c>
    </row>
    <row r="35" spans="1:5" x14ac:dyDescent="0.25">
      <c r="A35" s="2">
        <v>21</v>
      </c>
      <c r="B35" s="6"/>
      <c r="C35" s="6">
        <f>$C$34</f>
        <v>6000</v>
      </c>
      <c r="D35" s="6">
        <f t="shared" si="2"/>
        <v>-6000</v>
      </c>
      <c r="E35" s="6">
        <f t="shared" si="3"/>
        <v>30000</v>
      </c>
    </row>
    <row r="36" spans="1:5" x14ac:dyDescent="0.25">
      <c r="A36" s="2">
        <v>22</v>
      </c>
      <c r="B36" s="6"/>
      <c r="C36" s="6">
        <f t="shared" ref="C36:C40" si="6">$C$34</f>
        <v>6000</v>
      </c>
      <c r="D36" s="6">
        <f t="shared" si="2"/>
        <v>-6000</v>
      </c>
      <c r="E36" s="6">
        <f t="shared" si="3"/>
        <v>24000</v>
      </c>
    </row>
    <row r="37" spans="1:5" x14ac:dyDescent="0.25">
      <c r="A37" s="2">
        <v>23</v>
      </c>
      <c r="B37" s="6"/>
      <c r="C37" s="6">
        <f t="shared" si="6"/>
        <v>6000</v>
      </c>
      <c r="D37" s="6">
        <f t="shared" si="2"/>
        <v>-6000</v>
      </c>
      <c r="E37" s="6">
        <f t="shared" si="3"/>
        <v>18000</v>
      </c>
    </row>
    <row r="38" spans="1:5" x14ac:dyDescent="0.25">
      <c r="A38" s="2">
        <v>24</v>
      </c>
      <c r="B38" s="6"/>
      <c r="C38" s="6">
        <f t="shared" si="6"/>
        <v>6000</v>
      </c>
      <c r="D38" s="6">
        <f t="shared" si="2"/>
        <v>-6000</v>
      </c>
      <c r="E38" s="6">
        <f t="shared" si="3"/>
        <v>12000</v>
      </c>
    </row>
    <row r="39" spans="1:5" x14ac:dyDescent="0.25">
      <c r="A39" s="2">
        <v>25</v>
      </c>
      <c r="B39" s="6"/>
      <c r="C39" s="6">
        <f t="shared" si="6"/>
        <v>6000</v>
      </c>
      <c r="D39" s="6">
        <f t="shared" si="2"/>
        <v>-6000</v>
      </c>
      <c r="E39" s="6">
        <f t="shared" si="3"/>
        <v>6000</v>
      </c>
    </row>
    <row r="40" spans="1:5" x14ac:dyDescent="0.25">
      <c r="A40" s="2">
        <v>26</v>
      </c>
      <c r="B40" s="6"/>
      <c r="C40" s="6">
        <f t="shared" si="6"/>
        <v>6000</v>
      </c>
      <c r="D40" s="6">
        <f t="shared" si="2"/>
        <v>-6000</v>
      </c>
      <c r="E40" s="6">
        <f t="shared" si="3"/>
        <v>0</v>
      </c>
    </row>
    <row r="43" spans="1:5" x14ac:dyDescent="0.25">
      <c r="A43" t="s">
        <v>120</v>
      </c>
    </row>
    <row r="44" spans="1:5" x14ac:dyDescent="0.25">
      <c r="A44" t="s">
        <v>90</v>
      </c>
    </row>
  </sheetData>
  <sheetProtection sheet="1" objects="1" scenarios="1" selectLockedCells="1"/>
  <mergeCells count="1">
    <mergeCell ref="A1:E1"/>
  </mergeCells>
  <dataValidations xWindow="622" yWindow="292" count="1">
    <dataValidation type="list" allowBlank="1" showInputMessage="1" showErrorMessage="1" promptTitle="Pay Number" prompt="Select the pay number from the list where the salary changes" sqref="E9">
      <formula1>$A$16:$A$34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13" sqref="C13"/>
    </sheetView>
  </sheetViews>
  <sheetFormatPr defaultRowHeight="12.75" x14ac:dyDescent="0.2"/>
  <cols>
    <col min="1" max="1" width="22.7109375" style="20" customWidth="1"/>
    <col min="2" max="2" width="12.42578125" style="20" customWidth="1"/>
    <col min="3" max="3" width="12.28515625" style="20" customWidth="1"/>
    <col min="4" max="4" width="10.7109375" style="20" customWidth="1"/>
    <col min="5" max="5" width="12" style="20" bestFit="1" customWidth="1"/>
    <col min="6" max="6" width="10.7109375" style="21" customWidth="1"/>
    <col min="7" max="7" width="12" style="20" bestFit="1" customWidth="1"/>
    <col min="8" max="8" width="10.7109375" style="20" customWidth="1"/>
    <col min="9" max="9" width="12.7109375" style="20" bestFit="1" customWidth="1"/>
    <col min="10" max="10" width="10.7109375" style="20" customWidth="1"/>
    <col min="11" max="11" width="13" style="20" customWidth="1"/>
    <col min="12" max="13" width="10.7109375" style="20" customWidth="1"/>
    <col min="14" max="16384" width="9.140625" style="20"/>
  </cols>
  <sheetData>
    <row r="1" spans="1:13" ht="22.5" x14ac:dyDescent="0.3">
      <c r="A1" s="19" t="str">
        <f>'M T Current'!$A$1</f>
        <v>2017 Income Tax Withholding Payment Tables - MARIED persons</v>
      </c>
    </row>
    <row r="2" spans="1:13" ht="22.5" x14ac:dyDescent="0.3">
      <c r="A2" s="19"/>
    </row>
    <row r="3" spans="1:13" ht="13.5" thickBot="1" x14ac:dyDescent="0.25"/>
    <row r="4" spans="1:13" ht="14.25" x14ac:dyDescent="0.3">
      <c r="A4" s="22" t="s">
        <v>27</v>
      </c>
      <c r="B4" s="23"/>
      <c r="C4" s="24" t="s">
        <v>28</v>
      </c>
      <c r="D4" s="24"/>
      <c r="E4" s="125" t="s">
        <v>29</v>
      </c>
      <c r="F4" s="126"/>
      <c r="H4" s="25" t="s">
        <v>30</v>
      </c>
      <c r="I4" s="26"/>
      <c r="J4" s="26"/>
      <c r="K4" s="26"/>
      <c r="L4" s="26"/>
      <c r="M4" s="27"/>
    </row>
    <row r="5" spans="1:13" x14ac:dyDescent="0.2">
      <c r="A5" s="28">
        <f>B54</f>
        <v>332.69230769230768</v>
      </c>
      <c r="B5" s="29">
        <f>C54</f>
        <v>1050</v>
      </c>
      <c r="C5" s="29">
        <f>D54</f>
        <v>0</v>
      </c>
      <c r="D5" s="30"/>
      <c r="E5" s="31">
        <v>0.1</v>
      </c>
      <c r="F5" s="32">
        <f t="shared" ref="F5:F10" si="0">A5</f>
        <v>332.69230769230768</v>
      </c>
      <c r="H5" s="33"/>
      <c r="I5" s="34" t="s">
        <v>31</v>
      </c>
      <c r="J5" s="35" t="s">
        <v>32</v>
      </c>
      <c r="K5" s="36"/>
      <c r="L5" s="35" t="s">
        <v>33</v>
      </c>
      <c r="M5" s="37" t="s">
        <v>32</v>
      </c>
    </row>
    <row r="6" spans="1:13" x14ac:dyDescent="0.2">
      <c r="A6" s="38">
        <f t="shared" ref="A6:C10" si="1">B55</f>
        <v>1050</v>
      </c>
      <c r="B6" s="39">
        <f t="shared" si="1"/>
        <v>3251.9230769230771</v>
      </c>
      <c r="C6" s="39">
        <f t="shared" si="1"/>
        <v>71.730769230769226</v>
      </c>
      <c r="D6" s="40" t="s">
        <v>34</v>
      </c>
      <c r="E6" s="41">
        <v>0.15</v>
      </c>
      <c r="F6" s="42">
        <f t="shared" si="0"/>
        <v>1050</v>
      </c>
      <c r="H6" s="43">
        <v>1</v>
      </c>
      <c r="I6" s="20" t="s">
        <v>35</v>
      </c>
      <c r="J6" s="98">
        <f>'Estimated Net Pay Calculation'!$F$33*-1</f>
        <v>150</v>
      </c>
      <c r="K6" s="36"/>
      <c r="L6" s="20" t="s">
        <v>36</v>
      </c>
      <c r="M6" s="96">
        <f>'Estimated Net Pay Calculation'!$H$29*-1</f>
        <v>90</v>
      </c>
    </row>
    <row r="7" spans="1:13" x14ac:dyDescent="0.2">
      <c r="A7" s="28">
        <f t="shared" si="1"/>
        <v>3251.9230769230771</v>
      </c>
      <c r="B7" s="29">
        <f t="shared" si="1"/>
        <v>6221.1538461538457</v>
      </c>
      <c r="C7" s="29">
        <f t="shared" si="1"/>
        <v>402.01923076923077</v>
      </c>
      <c r="D7" s="44" t="s">
        <v>34</v>
      </c>
      <c r="E7" s="31">
        <v>0.25</v>
      </c>
      <c r="F7" s="32">
        <f t="shared" si="0"/>
        <v>3251.9230769230771</v>
      </c>
      <c r="H7" s="43">
        <v>2</v>
      </c>
      <c r="I7" s="45" t="s">
        <v>37</v>
      </c>
      <c r="J7" s="95">
        <f>'Estimated Net Pay Calculation'!$H$31*-1</f>
        <v>0</v>
      </c>
      <c r="K7" s="36"/>
      <c r="L7" s="20" t="s">
        <v>38</v>
      </c>
      <c r="M7" s="96">
        <f>'Estimated Net Pay Calculation'!$H$30*-1</f>
        <v>50</v>
      </c>
    </row>
    <row r="8" spans="1:13" x14ac:dyDescent="0.2">
      <c r="A8" s="38">
        <f t="shared" si="1"/>
        <v>6221.1538461538457</v>
      </c>
      <c r="B8" s="39">
        <f t="shared" si="1"/>
        <v>9307.6923076923085</v>
      </c>
      <c r="C8" s="39">
        <f t="shared" si="1"/>
        <v>1144.3269230769231</v>
      </c>
      <c r="D8" s="40" t="s">
        <v>34</v>
      </c>
      <c r="E8" s="41">
        <v>0.28000000000000003</v>
      </c>
      <c r="F8" s="42">
        <f t="shared" si="0"/>
        <v>6221.1538461538457</v>
      </c>
      <c r="H8" s="43">
        <v>3</v>
      </c>
      <c r="I8" s="20" t="s">
        <v>97</v>
      </c>
      <c r="J8" s="95">
        <f>'Estimated Net Pay Calculation'!$H$32*-1</f>
        <v>0</v>
      </c>
      <c r="K8" s="36"/>
      <c r="L8" s="45"/>
      <c r="M8" s="46"/>
    </row>
    <row r="9" spans="1:13" x14ac:dyDescent="0.2">
      <c r="A9" s="28">
        <f t="shared" si="1"/>
        <v>9307.6923076923085</v>
      </c>
      <c r="B9" s="29">
        <f t="shared" si="1"/>
        <v>16359.615384615385</v>
      </c>
      <c r="C9" s="29">
        <f t="shared" si="1"/>
        <v>2008.5576923076924</v>
      </c>
      <c r="D9" s="47" t="s">
        <v>34</v>
      </c>
      <c r="E9" s="48">
        <v>0.33</v>
      </c>
      <c r="F9" s="49">
        <f t="shared" si="0"/>
        <v>9307.6923076923085</v>
      </c>
      <c r="H9" s="43">
        <v>4</v>
      </c>
      <c r="J9" s="45"/>
      <c r="K9" s="36"/>
      <c r="L9" s="45"/>
      <c r="M9" s="46"/>
    </row>
    <row r="10" spans="1:13" ht="13.5" thickBot="1" x14ac:dyDescent="0.25">
      <c r="A10" s="50">
        <f t="shared" si="1"/>
        <v>16359.615384615385</v>
      </c>
      <c r="B10" s="51">
        <f t="shared" si="1"/>
        <v>18436.538461538461</v>
      </c>
      <c r="C10" s="51">
        <f t="shared" si="1"/>
        <v>4335.6923076923076</v>
      </c>
      <c r="D10" s="52" t="s">
        <v>34</v>
      </c>
      <c r="E10" s="53">
        <v>0.35</v>
      </c>
      <c r="F10" s="54">
        <f t="shared" si="0"/>
        <v>16359.615384615385</v>
      </c>
      <c r="H10" s="43">
        <v>5</v>
      </c>
      <c r="J10" s="45"/>
      <c r="K10" s="36"/>
      <c r="L10" s="45"/>
      <c r="M10" s="46"/>
    </row>
    <row r="11" spans="1:13" x14ac:dyDescent="0.2">
      <c r="H11" s="43">
        <v>6</v>
      </c>
      <c r="J11" s="45"/>
      <c r="K11" s="36"/>
      <c r="L11" s="45"/>
      <c r="M11" s="46"/>
    </row>
    <row r="12" spans="1:13" ht="13.5" thickBot="1" x14ac:dyDescent="0.25">
      <c r="C12" s="20">
        <v>26.1</v>
      </c>
      <c r="D12" s="20" t="s">
        <v>39</v>
      </c>
      <c r="H12" s="43">
        <v>7</v>
      </c>
      <c r="J12" s="55"/>
      <c r="K12" s="36"/>
      <c r="L12" s="45"/>
      <c r="M12" s="46"/>
    </row>
    <row r="13" spans="1:13" ht="13.5" thickBot="1" x14ac:dyDescent="0.25">
      <c r="A13" s="56" t="s">
        <v>40</v>
      </c>
      <c r="B13" s="57">
        <v>31000</v>
      </c>
      <c r="C13" s="21">
        <f>IF('Estimated Net Pay Calculation'!$B$22="M",'Estimated Net Pay Calculation'!$H$27,0)</f>
        <v>2884.6153846153848</v>
      </c>
      <c r="D13" s="20" t="s">
        <v>41</v>
      </c>
      <c r="H13" s="58" t="s">
        <v>42</v>
      </c>
      <c r="I13" s="59"/>
      <c r="J13" s="59">
        <f>SUM(J6:J12)</f>
        <v>150</v>
      </c>
      <c r="K13" s="59"/>
      <c r="L13" s="59"/>
      <c r="M13" s="60">
        <f>SUM(M6:M12)</f>
        <v>140</v>
      </c>
    </row>
    <row r="14" spans="1:13" ht="3" customHeight="1" thickBot="1" x14ac:dyDescent="0.25">
      <c r="A14" s="56"/>
      <c r="B14" s="61"/>
    </row>
    <row r="15" spans="1:13" ht="13.5" thickBot="1" x14ac:dyDescent="0.25">
      <c r="A15" s="56" t="s">
        <v>43</v>
      </c>
      <c r="B15" s="97">
        <f>'Estimated Net Pay Calculation'!$B$23</f>
        <v>1</v>
      </c>
      <c r="C15" s="21">
        <f>-(B44*B15)</f>
        <v>-155.76923076923077</v>
      </c>
      <c r="D15" s="20" t="s">
        <v>44</v>
      </c>
    </row>
    <row r="16" spans="1:13" ht="13.5" thickBot="1" x14ac:dyDescent="0.25">
      <c r="A16" s="20" t="s">
        <v>45</v>
      </c>
      <c r="B16" s="62">
        <f>J13+M13</f>
        <v>290</v>
      </c>
      <c r="C16" s="63">
        <f>-B16</f>
        <v>-290</v>
      </c>
    </row>
    <row r="17" spans="1:13" ht="13.5" thickBot="1" x14ac:dyDescent="0.25">
      <c r="A17" s="20" t="s">
        <v>46</v>
      </c>
      <c r="B17" s="99">
        <f>'Estimated Net Pay Calculation'!$H$34*-1</f>
        <v>70</v>
      </c>
      <c r="C17" s="64">
        <f>SUM(C13:C16)</f>
        <v>2438.8461538461538</v>
      </c>
      <c r="D17" s="65" t="s">
        <v>47</v>
      </c>
    </row>
    <row r="18" spans="1:13" x14ac:dyDescent="0.2">
      <c r="A18" s="66" t="s">
        <v>48</v>
      </c>
      <c r="B18" s="67" t="s">
        <v>49</v>
      </c>
    </row>
    <row r="19" spans="1:13" x14ac:dyDescent="0.2">
      <c r="C19" s="68" t="s">
        <v>50</v>
      </c>
      <c r="E19" s="68" t="s">
        <v>50</v>
      </c>
      <c r="G19" s="68" t="s">
        <v>50</v>
      </c>
      <c r="I19" s="68" t="s">
        <v>50</v>
      </c>
      <c r="K19" s="68" t="s">
        <v>50</v>
      </c>
      <c r="L19" s="36"/>
      <c r="M19" s="36" t="s">
        <v>51</v>
      </c>
    </row>
    <row r="20" spans="1:13" x14ac:dyDescent="0.2">
      <c r="C20" s="36" t="s">
        <v>110</v>
      </c>
      <c r="D20" s="36"/>
      <c r="E20" s="36" t="s">
        <v>111</v>
      </c>
      <c r="F20" s="69"/>
      <c r="G20" s="36" t="s">
        <v>112</v>
      </c>
      <c r="I20" s="36" t="s">
        <v>113</v>
      </c>
      <c r="K20" s="70" t="s">
        <v>114</v>
      </c>
      <c r="L20" s="70"/>
      <c r="M20" s="70">
        <v>14042</v>
      </c>
    </row>
    <row r="21" spans="1:13" ht="13.5" thickBot="1" x14ac:dyDescent="0.25">
      <c r="C21" s="71"/>
      <c r="D21" s="71"/>
      <c r="E21" s="71"/>
      <c r="F21" s="72"/>
    </row>
    <row r="22" spans="1:13" ht="15.75" thickBot="1" x14ac:dyDescent="0.4">
      <c r="B22" s="56" t="s">
        <v>52</v>
      </c>
      <c r="C22" s="73">
        <f>IF(AND($C$17&gt;A5,$C$17&lt;B5),$C$17,0)</f>
        <v>0</v>
      </c>
      <c r="D22" s="74"/>
      <c r="E22" s="73">
        <f>IF(AND($C$17&gt;A6,$C$17&lt;B6),$C$17,0)</f>
        <v>2438.8461538461538</v>
      </c>
      <c r="F22" s="75"/>
      <c r="G22" s="73">
        <f>IF(AND($C$17&gt;A7,$C$17&lt;B7),$C$17,0)</f>
        <v>0</v>
      </c>
      <c r="H22" s="21"/>
      <c r="I22" s="73">
        <f>IF(AND($C$17&gt;A8,$C$17&lt;B8),$C$17,0)</f>
        <v>0</v>
      </c>
      <c r="J22" s="21"/>
      <c r="K22" s="73">
        <f>IF(AND($C$17&gt;A9,$C$17&lt;B9),$C$17,0)</f>
        <v>0</v>
      </c>
      <c r="L22" s="76"/>
      <c r="M22" s="73">
        <f>IF(($C$17&gt;A10),$C$17,0)</f>
        <v>0</v>
      </c>
    </row>
    <row r="23" spans="1:13" ht="24" customHeight="1" x14ac:dyDescent="0.2">
      <c r="B23" s="56" t="s">
        <v>53</v>
      </c>
      <c r="C23" s="77">
        <f>A5</f>
        <v>332.69230769230768</v>
      </c>
      <c r="D23" s="78"/>
      <c r="E23" s="77">
        <f>B5</f>
        <v>1050</v>
      </c>
      <c r="F23" s="78"/>
      <c r="G23" s="79">
        <f>A7</f>
        <v>3251.9230769230771</v>
      </c>
      <c r="H23" s="21"/>
      <c r="I23" s="79">
        <f>A8</f>
        <v>6221.1538461538457</v>
      </c>
      <c r="J23" s="21"/>
      <c r="K23" s="79">
        <f>A9</f>
        <v>9307.6923076923085</v>
      </c>
      <c r="L23" s="80"/>
      <c r="M23" s="79">
        <f>A10</f>
        <v>16359.615384615385</v>
      </c>
    </row>
    <row r="24" spans="1:13" ht="19.5" customHeight="1" x14ac:dyDescent="0.2">
      <c r="B24" s="56" t="s">
        <v>54</v>
      </c>
      <c r="C24" s="81">
        <f>C22-C23</f>
        <v>-332.69230769230768</v>
      </c>
      <c r="D24" s="81"/>
      <c r="E24" s="81">
        <f>E22-E23</f>
        <v>1388.8461538461538</v>
      </c>
      <c r="F24" s="78"/>
      <c r="G24" s="81">
        <f>G22-G23</f>
        <v>-3251.9230769230771</v>
      </c>
      <c r="I24" s="81">
        <f>I22-I23</f>
        <v>-6221.1538461538457</v>
      </c>
      <c r="K24" s="81">
        <f>K22-K23</f>
        <v>-9307.6923076923085</v>
      </c>
      <c r="L24" s="81"/>
      <c r="M24" s="81">
        <f>M22-M23</f>
        <v>-16359.615384615385</v>
      </c>
    </row>
    <row r="25" spans="1:13" x14ac:dyDescent="0.2">
      <c r="B25" s="56" t="s">
        <v>55</v>
      </c>
      <c r="C25" s="82">
        <f>C24*E5</f>
        <v>-33.269230769230766</v>
      </c>
      <c r="D25" s="81"/>
      <c r="E25" s="82">
        <f>E24*E6</f>
        <v>208.32692307692307</v>
      </c>
      <c r="F25" s="78"/>
      <c r="G25" s="82">
        <f>G24*E7</f>
        <v>-812.98076923076928</v>
      </c>
      <c r="I25" s="82">
        <f>I24*E8</f>
        <v>-1741.9230769230769</v>
      </c>
      <c r="K25" s="82">
        <f>K24*E9</f>
        <v>-3071.5384615384619</v>
      </c>
      <c r="L25" s="78"/>
      <c r="M25" s="82">
        <f>M24*E10</f>
        <v>-5725.8653846153848</v>
      </c>
    </row>
    <row r="26" spans="1:13" x14ac:dyDescent="0.2">
      <c r="C26" s="21"/>
      <c r="D26" s="21"/>
      <c r="F26" s="80"/>
    </row>
    <row r="27" spans="1:13" x14ac:dyDescent="0.2">
      <c r="B27" s="56" t="s">
        <v>56</v>
      </c>
      <c r="C27" s="21">
        <v>0</v>
      </c>
      <c r="D27" s="21"/>
      <c r="E27" s="83">
        <f>C6</f>
        <v>71.730769230769226</v>
      </c>
      <c r="F27" s="80"/>
      <c r="G27" s="83">
        <f>C7</f>
        <v>402.01923076923077</v>
      </c>
      <c r="H27" s="21"/>
      <c r="I27" s="83">
        <f>C8</f>
        <v>1144.3269230769231</v>
      </c>
      <c r="J27" s="21"/>
      <c r="K27" s="83">
        <f>C9</f>
        <v>2008.5576923076924</v>
      </c>
      <c r="L27" s="21"/>
      <c r="M27" s="83">
        <f>C10</f>
        <v>4335.6923076923076</v>
      </c>
    </row>
    <row r="28" spans="1:13" ht="13.5" thickBot="1" x14ac:dyDescent="0.25">
      <c r="B28" s="56" t="str">
        <f>B25</f>
        <v>W/H on excess</v>
      </c>
      <c r="C28" s="80">
        <f>C25</f>
        <v>-33.269230769230766</v>
      </c>
      <c r="D28" s="21"/>
      <c r="E28" s="21">
        <f>E25</f>
        <v>208.32692307692307</v>
      </c>
      <c r="F28" s="80"/>
      <c r="G28" s="21">
        <f>G25</f>
        <v>-812.98076923076928</v>
      </c>
      <c r="I28" s="21">
        <f>I25</f>
        <v>-1741.9230769230769</v>
      </c>
      <c r="K28" s="21">
        <f>K25</f>
        <v>-3071.5384615384619</v>
      </c>
      <c r="L28" s="80"/>
      <c r="M28" s="21">
        <f>M25</f>
        <v>-5725.8653846153848</v>
      </c>
    </row>
    <row r="29" spans="1:13" ht="13.5" thickBot="1" x14ac:dyDescent="0.25">
      <c r="B29" s="56" t="s">
        <v>57</v>
      </c>
      <c r="C29" s="84">
        <f>SUM(C27:C28)</f>
        <v>-33.269230769230766</v>
      </c>
      <c r="D29" s="85"/>
      <c r="E29" s="86">
        <f>SUM(E27:E28)</f>
        <v>280.05769230769226</v>
      </c>
      <c r="F29" s="85"/>
      <c r="G29" s="86">
        <f>SUM(G27:G28)</f>
        <v>-410.96153846153851</v>
      </c>
      <c r="I29" s="86">
        <f>SUM(I27:I28)</f>
        <v>-597.59615384615381</v>
      </c>
      <c r="K29" s="86">
        <f>SUM(K27:K28)</f>
        <v>-1062.9807692307695</v>
      </c>
      <c r="L29" s="87"/>
      <c r="M29" s="86">
        <f>SUM(M27:M28)</f>
        <v>-1390.1730769230771</v>
      </c>
    </row>
    <row r="30" spans="1:13" x14ac:dyDescent="0.2">
      <c r="B30" s="56"/>
      <c r="F30" s="80"/>
    </row>
    <row r="31" spans="1:13" x14ac:dyDescent="0.2">
      <c r="B31" s="56" t="s">
        <v>58</v>
      </c>
      <c r="C31" s="63">
        <f>IF(C22=0, ,$C$13)</f>
        <v>0</v>
      </c>
      <c r="D31" s="63"/>
      <c r="E31" s="63">
        <f>IF(E22=0, ,$C$13)</f>
        <v>2884.6153846153848</v>
      </c>
      <c r="F31" s="80"/>
      <c r="G31" s="63">
        <f>IF(G22=0, ,$C$13)</f>
        <v>0</v>
      </c>
      <c r="I31" s="63">
        <f>IF(I22=0, ,$C$13)</f>
        <v>0</v>
      </c>
      <c r="K31" s="63">
        <f>IF(K22=0, ,$C$13)</f>
        <v>0</v>
      </c>
      <c r="L31" s="63"/>
      <c r="M31" s="63">
        <f>IF(M22=0, ,$C$13)</f>
        <v>0</v>
      </c>
    </row>
    <row r="32" spans="1:13" x14ac:dyDescent="0.2">
      <c r="B32" s="56" t="s">
        <v>59</v>
      </c>
      <c r="C32" s="63">
        <f>IF(C22=0,0,-C29)</f>
        <v>0</v>
      </c>
      <c r="D32" s="63"/>
      <c r="E32" s="63">
        <f>IF(E22=0,0,-E29)</f>
        <v>-280.05769230769226</v>
      </c>
      <c r="F32" s="88"/>
      <c r="G32" s="63">
        <f>IF(G22=0,0,-G29)</f>
        <v>0</v>
      </c>
      <c r="I32" s="63">
        <f>IF(I22=0,0,-I29)</f>
        <v>0</v>
      </c>
      <c r="K32" s="63">
        <f>IF(K22=0,0,-K29)</f>
        <v>0</v>
      </c>
      <c r="L32" s="63"/>
      <c r="M32" s="63">
        <f>IF(M22=0,0,-M29)</f>
        <v>0</v>
      </c>
    </row>
    <row r="33" spans="1:13" x14ac:dyDescent="0.2">
      <c r="B33" s="56" t="s">
        <v>60</v>
      </c>
      <c r="C33" s="63">
        <f>IF(OR($B$18="N",C22=0),0,($C$13-$M$13)*0.0765*-1)</f>
        <v>0</v>
      </c>
      <c r="D33" s="63"/>
      <c r="E33" s="63">
        <f>IF(OR($B$18="N",E22=0),0,($C$13-$M$13)*0.0765*-1)</f>
        <v>-209.96307692307693</v>
      </c>
      <c r="F33" s="88"/>
      <c r="G33" s="63">
        <f>IF(OR($B$18="N",G22=0),0,($C$13-$M$13)*0.0765*-1)</f>
        <v>0</v>
      </c>
      <c r="I33" s="63">
        <f>IF(OR($B$18="N",I22=0),0,($C$13-$M$13)*0.0765*-1)</f>
        <v>0</v>
      </c>
      <c r="K33" s="63">
        <f>IF(OR($B$18="N",K22=0),0,($C$13-$M$13)*0.0765*-1)</f>
        <v>0</v>
      </c>
      <c r="L33" s="63"/>
      <c r="M33" s="63">
        <f>IF(OR($B$18="N",M22=0),0,($C$13-$M$13)*0.0765*-1)</f>
        <v>0</v>
      </c>
    </row>
    <row r="34" spans="1:13" ht="13.5" thickBot="1" x14ac:dyDescent="0.25">
      <c r="B34" s="56" t="s">
        <v>15</v>
      </c>
      <c r="C34" s="63">
        <f>IF(C31&gt;0,-$B$16-$B$17,0)</f>
        <v>0</v>
      </c>
      <c r="D34" s="63"/>
      <c r="E34" s="63">
        <f>IF(E31&gt;0,-$B$16-$B$17,0)</f>
        <v>-360</v>
      </c>
      <c r="F34" s="88"/>
      <c r="G34" s="63">
        <f>IF(G31&gt;0,-$B$16-$B$17,0)</f>
        <v>0</v>
      </c>
      <c r="I34" s="63">
        <f>IF(I31&gt;0,-$B$16-$B$17,0)</f>
        <v>0</v>
      </c>
      <c r="K34" s="63">
        <f>IF(K31&gt;0,-$B$16-$B$17,0)</f>
        <v>0</v>
      </c>
      <c r="L34" s="63"/>
      <c r="M34" s="63">
        <f>IF(M31&gt;0,-$B$16-$B$17,0)</f>
        <v>0</v>
      </c>
    </row>
    <row r="35" spans="1:13" ht="13.5" thickBot="1" x14ac:dyDescent="0.25">
      <c r="B35" s="56" t="s">
        <v>13</v>
      </c>
      <c r="C35" s="86">
        <f>SUM(C31:C34)</f>
        <v>0</v>
      </c>
      <c r="D35" s="89"/>
      <c r="E35" s="86">
        <f>SUM(E31:E34)</f>
        <v>2034.5946153846153</v>
      </c>
      <c r="F35" s="89"/>
      <c r="G35" s="86">
        <f>SUM(G31:G34)</f>
        <v>0</v>
      </c>
      <c r="I35" s="86">
        <f>SUM(I31:I34)</f>
        <v>0</v>
      </c>
      <c r="K35" s="90">
        <f>SUM(K31:K34)</f>
        <v>0</v>
      </c>
      <c r="L35" s="87"/>
      <c r="M35" s="86">
        <f>SUM(M31:M34)</f>
        <v>0</v>
      </c>
    </row>
    <row r="36" spans="1:13" x14ac:dyDescent="0.2">
      <c r="A36" s="56"/>
      <c r="F36" s="80"/>
    </row>
    <row r="37" spans="1:13" x14ac:dyDescent="0.2">
      <c r="F37" s="80"/>
    </row>
    <row r="38" spans="1:13" x14ac:dyDescent="0.2">
      <c r="F38" s="80"/>
    </row>
    <row r="39" spans="1:13" x14ac:dyDescent="0.2">
      <c r="F39" s="80"/>
    </row>
    <row r="40" spans="1:13" x14ac:dyDescent="0.2">
      <c r="A40" s="20" t="s">
        <v>61</v>
      </c>
      <c r="B40" s="91">
        <v>90</v>
      </c>
      <c r="C40" s="63"/>
      <c r="D40" s="63"/>
      <c r="F40" s="88"/>
    </row>
    <row r="41" spans="1:13" x14ac:dyDescent="0.2">
      <c r="A41" s="20" t="s">
        <v>62</v>
      </c>
      <c r="B41" s="91">
        <v>25</v>
      </c>
      <c r="C41" s="63"/>
      <c r="D41" s="63"/>
      <c r="F41" s="88"/>
    </row>
    <row r="42" spans="1:13" x14ac:dyDescent="0.2">
      <c r="B42" s="91"/>
      <c r="C42" s="63"/>
      <c r="D42" s="63"/>
      <c r="F42" s="88"/>
    </row>
    <row r="43" spans="1:13" x14ac:dyDescent="0.2">
      <c r="A43" s="20" t="s">
        <v>63</v>
      </c>
      <c r="B43" s="91">
        <f>'M T Current'!$B$43</f>
        <v>4050</v>
      </c>
      <c r="F43" s="80"/>
    </row>
    <row r="44" spans="1:13" x14ac:dyDescent="0.2">
      <c r="A44" s="20" t="s">
        <v>64</v>
      </c>
      <c r="B44" s="92">
        <f>B43/26</f>
        <v>155.76923076923077</v>
      </c>
      <c r="F44" s="80"/>
    </row>
    <row r="45" spans="1:13" x14ac:dyDescent="0.2">
      <c r="B45" s="92"/>
      <c r="F45" s="80"/>
    </row>
    <row r="46" spans="1:13" x14ac:dyDescent="0.2">
      <c r="A46" s="20" t="s">
        <v>65</v>
      </c>
      <c r="B46" s="91">
        <f>'M T Current'!B46</f>
        <v>8650</v>
      </c>
      <c r="C46" s="91">
        <f>'M T Current'!C46</f>
        <v>27300</v>
      </c>
      <c r="D46" s="91">
        <f>'M T Current'!D46</f>
        <v>0</v>
      </c>
      <c r="E46" s="20" t="s">
        <v>34</v>
      </c>
      <c r="F46" s="93">
        <v>0.1</v>
      </c>
      <c r="G46" s="91">
        <f t="shared" ref="G46:G51" si="2">B46</f>
        <v>8650</v>
      </c>
    </row>
    <row r="47" spans="1:13" x14ac:dyDescent="0.2">
      <c r="B47" s="91">
        <f>'M T Current'!B47</f>
        <v>27300</v>
      </c>
      <c r="C47" s="91">
        <f>'M T Current'!C47</f>
        <v>84550</v>
      </c>
      <c r="D47" s="91">
        <f>'M T Current'!D47</f>
        <v>1865</v>
      </c>
      <c r="E47" s="20" t="s">
        <v>34</v>
      </c>
      <c r="F47" s="94">
        <v>0.15</v>
      </c>
      <c r="G47" s="91">
        <f t="shared" si="2"/>
        <v>27300</v>
      </c>
    </row>
    <row r="48" spans="1:13" x14ac:dyDescent="0.2">
      <c r="B48" s="91">
        <f>'M T Current'!B48</f>
        <v>84550</v>
      </c>
      <c r="C48" s="91">
        <f>'M T Current'!C48</f>
        <v>161750</v>
      </c>
      <c r="D48" s="91">
        <f>'M T Current'!D48</f>
        <v>10452.5</v>
      </c>
      <c r="E48" s="20" t="s">
        <v>34</v>
      </c>
      <c r="F48" s="94">
        <v>0.25</v>
      </c>
      <c r="G48" s="91">
        <f t="shared" si="2"/>
        <v>84550</v>
      </c>
    </row>
    <row r="49" spans="1:7" x14ac:dyDescent="0.2">
      <c r="B49" s="91">
        <f>'M T Current'!B49</f>
        <v>161750</v>
      </c>
      <c r="C49" s="91">
        <f>'M T Current'!C49</f>
        <v>242000</v>
      </c>
      <c r="D49" s="91">
        <f>'M T Current'!D49</f>
        <v>29752.5</v>
      </c>
      <c r="E49" s="20" t="s">
        <v>34</v>
      </c>
      <c r="F49" s="94">
        <v>0.28000000000000003</v>
      </c>
      <c r="G49" s="91">
        <f t="shared" si="2"/>
        <v>161750</v>
      </c>
    </row>
    <row r="50" spans="1:7" x14ac:dyDescent="0.2">
      <c r="B50" s="91">
        <f>'M T Current'!B50</f>
        <v>242000</v>
      </c>
      <c r="C50" s="91">
        <f>'M T Current'!C50</f>
        <v>425350</v>
      </c>
      <c r="D50" s="91">
        <f>'M T Current'!D50</f>
        <v>52222.5</v>
      </c>
      <c r="E50" s="20" t="s">
        <v>34</v>
      </c>
      <c r="F50" s="94">
        <v>0.33</v>
      </c>
      <c r="G50" s="91">
        <f t="shared" si="2"/>
        <v>242000</v>
      </c>
    </row>
    <row r="51" spans="1:7" x14ac:dyDescent="0.2">
      <c r="B51" s="91">
        <f>'M T Current'!B51</f>
        <v>425350</v>
      </c>
      <c r="C51" s="91">
        <f>'M T Current'!C51</f>
        <v>479350</v>
      </c>
      <c r="D51" s="91">
        <f>'M T Current'!D51</f>
        <v>112728</v>
      </c>
      <c r="E51" s="20" t="s">
        <v>34</v>
      </c>
      <c r="F51" s="94">
        <v>0.35</v>
      </c>
      <c r="G51" s="91">
        <f t="shared" si="2"/>
        <v>425350</v>
      </c>
    </row>
    <row r="52" spans="1:7" x14ac:dyDescent="0.2">
      <c r="F52" s="94"/>
    </row>
    <row r="53" spans="1:7" x14ac:dyDescent="0.2">
      <c r="A53" s="20" t="s">
        <v>104</v>
      </c>
      <c r="F53" s="80"/>
    </row>
    <row r="54" spans="1:7" x14ac:dyDescent="0.2">
      <c r="B54" s="91">
        <f>'M T Current'!B54</f>
        <v>332.69230769230768</v>
      </c>
      <c r="C54" s="91">
        <f>'M T Current'!C54</f>
        <v>1050</v>
      </c>
      <c r="D54" s="91">
        <f>'M T Current'!D54</f>
        <v>0</v>
      </c>
      <c r="E54" s="20" t="s">
        <v>34</v>
      </c>
      <c r="F54" s="93">
        <v>0.1</v>
      </c>
      <c r="G54" s="91">
        <f>G46/26</f>
        <v>332.69230769230768</v>
      </c>
    </row>
    <row r="55" spans="1:7" x14ac:dyDescent="0.2">
      <c r="B55" s="91">
        <f>'M T Current'!B55</f>
        <v>1050</v>
      </c>
      <c r="C55" s="91">
        <f>'M T Current'!C55</f>
        <v>3251.9230769230771</v>
      </c>
      <c r="D55" s="91">
        <f>'M T Current'!D55</f>
        <v>71.730769230769226</v>
      </c>
      <c r="E55" s="20" t="s">
        <v>34</v>
      </c>
      <c r="F55" s="94">
        <v>0.15</v>
      </c>
      <c r="G55" s="91">
        <f t="shared" ref="G55:G59" si="3">G47/26</f>
        <v>1050</v>
      </c>
    </row>
    <row r="56" spans="1:7" x14ac:dyDescent="0.2">
      <c r="B56" s="91">
        <f>'M T Current'!B56</f>
        <v>3251.9230769230771</v>
      </c>
      <c r="C56" s="91">
        <f>'M T Current'!C56</f>
        <v>6221.1538461538457</v>
      </c>
      <c r="D56" s="91">
        <f>'M T Current'!D56</f>
        <v>402.01923076923077</v>
      </c>
      <c r="E56" s="20" t="s">
        <v>34</v>
      </c>
      <c r="F56" s="94">
        <v>0.25</v>
      </c>
      <c r="G56" s="91">
        <f t="shared" si="3"/>
        <v>3251.9230769230771</v>
      </c>
    </row>
    <row r="57" spans="1:7" x14ac:dyDescent="0.2">
      <c r="B57" s="91">
        <f>'M T Current'!B57</f>
        <v>6221.1538461538457</v>
      </c>
      <c r="C57" s="91">
        <f>'M T Current'!C57</f>
        <v>9307.6923076923085</v>
      </c>
      <c r="D57" s="91">
        <f>'M T Current'!D57</f>
        <v>1144.3269230769231</v>
      </c>
      <c r="E57" s="20" t="s">
        <v>34</v>
      </c>
      <c r="F57" s="94">
        <v>0.28000000000000003</v>
      </c>
      <c r="G57" s="91">
        <f t="shared" si="3"/>
        <v>6221.1538461538457</v>
      </c>
    </row>
    <row r="58" spans="1:7" x14ac:dyDescent="0.2">
      <c r="B58" s="91">
        <f>'M T Current'!B58</f>
        <v>9307.6923076923085</v>
      </c>
      <c r="C58" s="91">
        <f>'M T Current'!C58</f>
        <v>16359.615384615385</v>
      </c>
      <c r="D58" s="91">
        <f>'M T Current'!D58</f>
        <v>2008.5576923076924</v>
      </c>
      <c r="E58" s="20" t="s">
        <v>34</v>
      </c>
      <c r="F58" s="94">
        <v>0.33</v>
      </c>
      <c r="G58" s="91">
        <f t="shared" si="3"/>
        <v>9307.6923076923085</v>
      </c>
    </row>
    <row r="59" spans="1:7" x14ac:dyDescent="0.2">
      <c r="B59" s="91">
        <f>'M T Current'!B59</f>
        <v>16359.615384615385</v>
      </c>
      <c r="C59" s="91">
        <f>'M T Current'!C59</f>
        <v>18436.538461538461</v>
      </c>
      <c r="D59" s="91">
        <f>'M T Current'!D59</f>
        <v>4335.6923076923076</v>
      </c>
      <c r="E59" s="20" t="s">
        <v>34</v>
      </c>
      <c r="F59" s="94">
        <v>0.35</v>
      </c>
      <c r="G59" s="91">
        <f t="shared" si="3"/>
        <v>16359.615384615385</v>
      </c>
    </row>
    <row r="60" spans="1:7" x14ac:dyDescent="0.2">
      <c r="F60" s="80"/>
    </row>
    <row r="61" spans="1:7" x14ac:dyDescent="0.2">
      <c r="A61" s="20" t="s">
        <v>66</v>
      </c>
      <c r="B61" s="91">
        <f>B43/27</f>
        <v>150</v>
      </c>
      <c r="F61" s="80"/>
    </row>
    <row r="62" spans="1:7" x14ac:dyDescent="0.2">
      <c r="F62" s="80"/>
    </row>
    <row r="63" spans="1:7" x14ac:dyDescent="0.2">
      <c r="F63" s="80"/>
    </row>
    <row r="64" spans="1:7" x14ac:dyDescent="0.2">
      <c r="F64" s="80"/>
    </row>
    <row r="65" spans="6:6" x14ac:dyDescent="0.2">
      <c r="F65" s="80"/>
    </row>
    <row r="66" spans="6:6" x14ac:dyDescent="0.2">
      <c r="F66" s="80"/>
    </row>
    <row r="67" spans="6:6" x14ac:dyDescent="0.2">
      <c r="F67" s="80"/>
    </row>
  </sheetData>
  <mergeCells count="1">
    <mergeCell ref="E4:F4"/>
  </mergeCells>
  <pageMargins left="0.25" right="0.25" top="1" bottom="1" header="0.5" footer="0.5"/>
  <pageSetup paperSize="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13" sqref="C13"/>
    </sheetView>
  </sheetViews>
  <sheetFormatPr defaultRowHeight="12.75" x14ac:dyDescent="0.2"/>
  <cols>
    <col min="1" max="1" width="22.7109375" style="20" customWidth="1"/>
    <col min="2" max="2" width="12.42578125" style="20" customWidth="1"/>
    <col min="3" max="3" width="12.28515625" style="20" customWidth="1"/>
    <col min="4" max="4" width="10.7109375" style="20" customWidth="1"/>
    <col min="5" max="5" width="12" style="20" bestFit="1" customWidth="1"/>
    <col min="6" max="6" width="10.7109375" style="21" customWidth="1"/>
    <col min="7" max="7" width="12" style="20" bestFit="1" customWidth="1"/>
    <col min="8" max="8" width="10.7109375" style="20" customWidth="1"/>
    <col min="9" max="9" width="12.7109375" style="20" bestFit="1" customWidth="1"/>
    <col min="10" max="10" width="10.7109375" style="20" customWidth="1"/>
    <col min="11" max="11" width="13" style="20" customWidth="1"/>
    <col min="12" max="13" width="10.7109375" style="20" customWidth="1"/>
    <col min="14" max="16384" width="9.140625" style="20"/>
  </cols>
  <sheetData>
    <row r="1" spans="1:13" ht="22.5" x14ac:dyDescent="0.3">
      <c r="A1" s="19" t="str">
        <f>'M T Current'!$A$1</f>
        <v>2017 Income Tax Withholding Payment Tables - MARIED persons</v>
      </c>
    </row>
    <row r="2" spans="1:13" ht="22.5" x14ac:dyDescent="0.3">
      <c r="A2" s="19"/>
    </row>
    <row r="3" spans="1:13" ht="13.5" thickBot="1" x14ac:dyDescent="0.25"/>
    <row r="4" spans="1:13" ht="14.25" x14ac:dyDescent="0.3">
      <c r="A4" s="22" t="s">
        <v>27</v>
      </c>
      <c r="B4" s="23"/>
      <c r="C4" s="24" t="s">
        <v>28</v>
      </c>
      <c r="D4" s="24"/>
      <c r="E4" s="125" t="s">
        <v>29</v>
      </c>
      <c r="F4" s="126"/>
      <c r="H4" s="25" t="s">
        <v>30</v>
      </c>
      <c r="I4" s="26"/>
      <c r="J4" s="26"/>
      <c r="K4" s="26"/>
      <c r="L4" s="26"/>
      <c r="M4" s="27"/>
    </row>
    <row r="5" spans="1:13" x14ac:dyDescent="0.2">
      <c r="A5" s="28">
        <f>B54</f>
        <v>332.69230769230768</v>
      </c>
      <c r="B5" s="29">
        <f>C54</f>
        <v>1050</v>
      </c>
      <c r="C5" s="29">
        <f>D54</f>
        <v>0</v>
      </c>
      <c r="D5" s="30"/>
      <c r="E5" s="31">
        <v>0.1</v>
      </c>
      <c r="F5" s="32">
        <f t="shared" ref="F5:F10" si="0">A5</f>
        <v>332.69230769230768</v>
      </c>
      <c r="H5" s="33"/>
      <c r="I5" s="34" t="s">
        <v>31</v>
      </c>
      <c r="J5" s="35" t="s">
        <v>32</v>
      </c>
      <c r="K5" s="36"/>
      <c r="L5" s="35" t="s">
        <v>33</v>
      </c>
      <c r="M5" s="37" t="s">
        <v>32</v>
      </c>
    </row>
    <row r="6" spans="1:13" x14ac:dyDescent="0.2">
      <c r="A6" s="38">
        <f t="shared" ref="A6:C10" si="1">B55</f>
        <v>1050</v>
      </c>
      <c r="B6" s="39">
        <f t="shared" si="1"/>
        <v>3251.9230769230771</v>
      </c>
      <c r="C6" s="39">
        <f t="shared" si="1"/>
        <v>71.730769230769226</v>
      </c>
      <c r="D6" s="40" t="s">
        <v>34</v>
      </c>
      <c r="E6" s="41">
        <v>0.15</v>
      </c>
      <c r="F6" s="42">
        <f t="shared" si="0"/>
        <v>1050</v>
      </c>
      <c r="H6" s="43">
        <v>1</v>
      </c>
      <c r="I6" s="20" t="s">
        <v>76</v>
      </c>
      <c r="J6" s="98">
        <f>'Estimated Net Pay Calculation'!$B$33*-1</f>
        <v>150</v>
      </c>
      <c r="K6" s="36"/>
      <c r="L6" s="20" t="s">
        <v>78</v>
      </c>
      <c r="M6" s="96">
        <f>'Estimated Net Pay Calculation'!$B$29*-1</f>
        <v>90</v>
      </c>
    </row>
    <row r="7" spans="1:13" x14ac:dyDescent="0.2">
      <c r="A7" s="28">
        <f t="shared" si="1"/>
        <v>3251.9230769230771</v>
      </c>
      <c r="B7" s="29">
        <f t="shared" si="1"/>
        <v>6221.1538461538457</v>
      </c>
      <c r="C7" s="29">
        <f t="shared" si="1"/>
        <v>402.01923076923077</v>
      </c>
      <c r="D7" s="44" t="s">
        <v>34</v>
      </c>
      <c r="E7" s="31">
        <v>0.25</v>
      </c>
      <c r="F7" s="32">
        <f t="shared" si="0"/>
        <v>3251.9230769230771</v>
      </c>
      <c r="H7" s="43">
        <v>2</v>
      </c>
      <c r="I7" s="45" t="s">
        <v>80</v>
      </c>
      <c r="J7" s="95">
        <f>'Estimated Net Pay Calculation'!$B$31*-1</f>
        <v>115.38461538461539</v>
      </c>
      <c r="K7" s="36"/>
      <c r="L7" s="20" t="s">
        <v>79</v>
      </c>
      <c r="M7" s="96">
        <f>'Estimated Net Pay Calculation'!$B$30*-1</f>
        <v>50</v>
      </c>
    </row>
    <row r="8" spans="1:13" x14ac:dyDescent="0.2">
      <c r="A8" s="38">
        <f t="shared" si="1"/>
        <v>6221.1538461538457</v>
      </c>
      <c r="B8" s="39">
        <f t="shared" si="1"/>
        <v>9307.6923076923085</v>
      </c>
      <c r="C8" s="39">
        <f t="shared" si="1"/>
        <v>1144.3269230769231</v>
      </c>
      <c r="D8" s="40" t="s">
        <v>34</v>
      </c>
      <c r="E8" s="41">
        <v>0.28000000000000003</v>
      </c>
      <c r="F8" s="42">
        <f t="shared" si="0"/>
        <v>6221.1538461538457</v>
      </c>
      <c r="H8" s="43">
        <v>3</v>
      </c>
      <c r="I8" s="20" t="s">
        <v>97</v>
      </c>
      <c r="J8" s="95">
        <f>'Estimated Net Pay Calculation'!$B$32*-1</f>
        <v>115.38461538461539</v>
      </c>
      <c r="K8" s="36"/>
      <c r="L8" s="45"/>
      <c r="M8" s="46"/>
    </row>
    <row r="9" spans="1:13" x14ac:dyDescent="0.2">
      <c r="A9" s="28">
        <f t="shared" si="1"/>
        <v>9307.6923076923085</v>
      </c>
      <c r="B9" s="29">
        <f t="shared" si="1"/>
        <v>16359.615384615385</v>
      </c>
      <c r="C9" s="29">
        <f t="shared" si="1"/>
        <v>2008.5576923076924</v>
      </c>
      <c r="D9" s="47" t="s">
        <v>34</v>
      </c>
      <c r="E9" s="48">
        <v>0.33</v>
      </c>
      <c r="F9" s="49">
        <f t="shared" si="0"/>
        <v>9307.6923076923085</v>
      </c>
      <c r="H9" s="43">
        <v>4</v>
      </c>
      <c r="J9" s="45"/>
      <c r="K9" s="36"/>
      <c r="L9" s="45"/>
      <c r="M9" s="46"/>
    </row>
    <row r="10" spans="1:13" ht="13.5" thickBot="1" x14ac:dyDescent="0.25">
      <c r="A10" s="50">
        <f t="shared" si="1"/>
        <v>16359.615384615385</v>
      </c>
      <c r="B10" s="51">
        <f t="shared" si="1"/>
        <v>18436.538461538461</v>
      </c>
      <c r="C10" s="51">
        <f t="shared" si="1"/>
        <v>4335.6923076923076</v>
      </c>
      <c r="D10" s="52" t="s">
        <v>34</v>
      </c>
      <c r="E10" s="53">
        <v>0.35</v>
      </c>
      <c r="F10" s="54">
        <f t="shared" si="0"/>
        <v>16359.615384615385</v>
      </c>
      <c r="H10" s="43">
        <v>5</v>
      </c>
      <c r="J10" s="45"/>
      <c r="K10" s="36"/>
      <c r="L10" s="45"/>
      <c r="M10" s="46"/>
    </row>
    <row r="11" spans="1:13" x14ac:dyDescent="0.2">
      <c r="H11" s="43">
        <v>6</v>
      </c>
      <c r="J11" s="45"/>
      <c r="K11" s="36"/>
      <c r="L11" s="45"/>
      <c r="M11" s="46"/>
    </row>
    <row r="12" spans="1:13" ht="13.5" thickBot="1" x14ac:dyDescent="0.25">
      <c r="C12" s="20">
        <v>26.1</v>
      </c>
      <c r="D12" s="20" t="s">
        <v>39</v>
      </c>
      <c r="H12" s="43">
        <v>7</v>
      </c>
      <c r="J12" s="55"/>
      <c r="K12" s="36"/>
      <c r="L12" s="45"/>
      <c r="M12" s="46"/>
    </row>
    <row r="13" spans="1:13" ht="13.5" thickBot="1" x14ac:dyDescent="0.25">
      <c r="A13" s="56" t="s">
        <v>40</v>
      </c>
      <c r="B13" s="57">
        <v>31000</v>
      </c>
      <c r="C13" s="21">
        <f>'Estimated Net Pay Calculation'!$B$27</f>
        <v>3846.1538461538462</v>
      </c>
      <c r="D13" s="20" t="s">
        <v>41</v>
      </c>
      <c r="H13" s="58" t="s">
        <v>42</v>
      </c>
      <c r="I13" s="59"/>
      <c r="J13" s="59">
        <f>SUM(J6:J12)</f>
        <v>380.76923076923072</v>
      </c>
      <c r="K13" s="59"/>
      <c r="L13" s="59"/>
      <c r="M13" s="60">
        <f>SUM(M6:M12)</f>
        <v>140</v>
      </c>
    </row>
    <row r="14" spans="1:13" ht="3" customHeight="1" thickBot="1" x14ac:dyDescent="0.25">
      <c r="A14" s="56"/>
      <c r="B14" s="61"/>
    </row>
    <row r="15" spans="1:13" ht="13.5" thickBot="1" x14ac:dyDescent="0.25">
      <c r="A15" s="56" t="s">
        <v>43</v>
      </c>
      <c r="B15" s="97">
        <f>'Estimated Net Pay Calculation'!$B$23</f>
        <v>1</v>
      </c>
      <c r="C15" s="21">
        <f>-(B44*B15)</f>
        <v>-155.76923076923077</v>
      </c>
      <c r="D15" s="20" t="s">
        <v>44</v>
      </c>
    </row>
    <row r="16" spans="1:13" ht="13.5" thickBot="1" x14ac:dyDescent="0.25">
      <c r="A16" s="20" t="s">
        <v>45</v>
      </c>
      <c r="B16" s="62">
        <f>J13+M13</f>
        <v>520.76923076923072</v>
      </c>
      <c r="C16" s="63">
        <f>-B16</f>
        <v>-520.76923076923072</v>
      </c>
    </row>
    <row r="17" spans="1:13" ht="13.5" thickBot="1" x14ac:dyDescent="0.25">
      <c r="A17" s="20" t="s">
        <v>46</v>
      </c>
      <c r="B17" s="62">
        <v>25</v>
      </c>
      <c r="C17" s="64">
        <f>SUM(C13:C16)</f>
        <v>3169.6153846153848</v>
      </c>
      <c r="D17" s="65" t="s">
        <v>47</v>
      </c>
    </row>
    <row r="18" spans="1:13" x14ac:dyDescent="0.2">
      <c r="A18" s="66" t="s">
        <v>48</v>
      </c>
      <c r="B18" s="67" t="s">
        <v>49</v>
      </c>
    </row>
    <row r="19" spans="1:13" x14ac:dyDescent="0.2">
      <c r="C19" s="68" t="s">
        <v>50</v>
      </c>
      <c r="E19" s="68" t="s">
        <v>50</v>
      </c>
      <c r="G19" s="68" t="s">
        <v>50</v>
      </c>
      <c r="I19" s="68" t="s">
        <v>50</v>
      </c>
      <c r="K19" s="68" t="s">
        <v>50</v>
      </c>
      <c r="L19" s="36"/>
      <c r="M19" s="36" t="s">
        <v>51</v>
      </c>
    </row>
    <row r="20" spans="1:13" x14ac:dyDescent="0.2">
      <c r="C20" s="36" t="s">
        <v>110</v>
      </c>
      <c r="D20" s="36"/>
      <c r="E20" s="36" t="s">
        <v>111</v>
      </c>
      <c r="F20" s="69"/>
      <c r="G20" s="36" t="s">
        <v>112</v>
      </c>
      <c r="I20" s="36" t="s">
        <v>113</v>
      </c>
      <c r="K20" s="70" t="s">
        <v>114</v>
      </c>
      <c r="L20" s="70"/>
      <c r="M20" s="70">
        <v>14042</v>
      </c>
    </row>
    <row r="21" spans="1:13" ht="13.5" thickBot="1" x14ac:dyDescent="0.25">
      <c r="C21" s="71"/>
      <c r="D21" s="71"/>
      <c r="E21" s="71"/>
      <c r="F21" s="72"/>
    </row>
    <row r="22" spans="1:13" ht="15.75" thickBot="1" x14ac:dyDescent="0.4">
      <c r="B22" s="56" t="s">
        <v>52</v>
      </c>
      <c r="C22" s="73" t="str">
        <f>IF(AND($C$17&gt;A5,$C$17&lt;B5),$C$17,"No match")</f>
        <v>No match</v>
      </c>
      <c r="D22" s="74"/>
      <c r="E22" s="73">
        <f>IF(AND($C$17&gt;A6,$C$17&lt;B6),$C$17,"No match")</f>
        <v>3169.6153846153848</v>
      </c>
      <c r="F22" s="75"/>
      <c r="G22" s="73" t="str">
        <f>IF(AND($C$17&gt;A7,$C$17&lt;B7),$C$17,"No match")</f>
        <v>No match</v>
      </c>
      <c r="H22" s="21"/>
      <c r="I22" s="73" t="str">
        <f>IF(AND($C$17&gt;A8,$C$17&lt;B8),$C$17,"No match")</f>
        <v>No match</v>
      </c>
      <c r="J22" s="21"/>
      <c r="K22" s="73" t="str">
        <f>IF(AND($C$17&gt;A9,$C$17&lt;B9),$C$17,"No match")</f>
        <v>No match</v>
      </c>
      <c r="L22" s="76"/>
      <c r="M22" s="73" t="str">
        <f>IF(($C$17&gt;A10),$C$17,"No match")</f>
        <v>No match</v>
      </c>
    </row>
    <row r="23" spans="1:13" ht="24" customHeight="1" x14ac:dyDescent="0.2">
      <c r="B23" s="56" t="s">
        <v>53</v>
      </c>
      <c r="C23" s="77">
        <f>A5</f>
        <v>332.69230769230768</v>
      </c>
      <c r="D23" s="78"/>
      <c r="E23" s="77">
        <f>B5</f>
        <v>1050</v>
      </c>
      <c r="F23" s="78"/>
      <c r="G23" s="79">
        <f>A7</f>
        <v>3251.9230769230771</v>
      </c>
      <c r="H23" s="21"/>
      <c r="I23" s="79">
        <f>A8</f>
        <v>6221.1538461538457</v>
      </c>
      <c r="J23" s="21"/>
      <c r="K23" s="79">
        <f>A9</f>
        <v>9307.6923076923085</v>
      </c>
      <c r="L23" s="80"/>
      <c r="M23" s="79">
        <f>A10</f>
        <v>16359.615384615385</v>
      </c>
    </row>
    <row r="24" spans="1:13" ht="19.5" customHeight="1" x14ac:dyDescent="0.2">
      <c r="B24" s="56" t="s">
        <v>54</v>
      </c>
      <c r="C24" s="81" t="e">
        <f>C22-C23</f>
        <v>#VALUE!</v>
      </c>
      <c r="D24" s="81"/>
      <c r="E24" s="81">
        <f>E22-E23</f>
        <v>2119.6153846153848</v>
      </c>
      <c r="F24" s="78"/>
      <c r="G24" s="81" t="e">
        <f>G22-G23</f>
        <v>#VALUE!</v>
      </c>
      <c r="I24" s="81" t="e">
        <f>I22-I23</f>
        <v>#VALUE!</v>
      </c>
      <c r="K24" s="81" t="e">
        <f>K22-K23</f>
        <v>#VALUE!</v>
      </c>
      <c r="L24" s="81"/>
      <c r="M24" s="81" t="e">
        <f>M22-M23</f>
        <v>#VALUE!</v>
      </c>
    </row>
    <row r="25" spans="1:13" x14ac:dyDescent="0.2">
      <c r="B25" s="56" t="s">
        <v>55</v>
      </c>
      <c r="C25" s="82" t="e">
        <f>C24*E5</f>
        <v>#VALUE!</v>
      </c>
      <c r="D25" s="81"/>
      <c r="E25" s="82">
        <f>E24*E6</f>
        <v>317.94230769230768</v>
      </c>
      <c r="F25" s="78"/>
      <c r="G25" s="82" t="e">
        <f>G24*E7</f>
        <v>#VALUE!</v>
      </c>
      <c r="I25" s="82" t="e">
        <f>I24*E8</f>
        <v>#VALUE!</v>
      </c>
      <c r="K25" s="82" t="e">
        <f>K24*E9</f>
        <v>#VALUE!</v>
      </c>
      <c r="L25" s="78"/>
      <c r="M25" s="82" t="e">
        <f>M24*E10</f>
        <v>#VALUE!</v>
      </c>
    </row>
    <row r="26" spans="1:13" x14ac:dyDescent="0.2">
      <c r="C26" s="21"/>
      <c r="D26" s="21"/>
      <c r="F26" s="80"/>
    </row>
    <row r="27" spans="1:13" x14ac:dyDescent="0.2">
      <c r="B27" s="56" t="s">
        <v>56</v>
      </c>
      <c r="C27" s="21">
        <v>0</v>
      </c>
      <c r="D27" s="21"/>
      <c r="E27" s="83">
        <f>C6</f>
        <v>71.730769230769226</v>
      </c>
      <c r="F27" s="80"/>
      <c r="G27" s="83">
        <f>C7</f>
        <v>402.01923076923077</v>
      </c>
      <c r="H27" s="21"/>
      <c r="I27" s="83">
        <f>C8</f>
        <v>1144.3269230769231</v>
      </c>
      <c r="J27" s="21"/>
      <c r="K27" s="83">
        <f>C9</f>
        <v>2008.5576923076924</v>
      </c>
      <c r="L27" s="21"/>
      <c r="M27" s="83">
        <f>C10</f>
        <v>4335.6923076923076</v>
      </c>
    </row>
    <row r="28" spans="1:13" ht="13.5" thickBot="1" x14ac:dyDescent="0.25">
      <c r="B28" s="56" t="str">
        <f>B25</f>
        <v>W/H on excess</v>
      </c>
      <c r="C28" s="80" t="e">
        <f>C25</f>
        <v>#VALUE!</v>
      </c>
      <c r="D28" s="21"/>
      <c r="E28" s="21">
        <f>E25</f>
        <v>317.94230769230768</v>
      </c>
      <c r="F28" s="80"/>
      <c r="G28" s="21" t="e">
        <f>G25</f>
        <v>#VALUE!</v>
      </c>
      <c r="I28" s="21" t="e">
        <f>I25</f>
        <v>#VALUE!</v>
      </c>
      <c r="K28" s="21" t="e">
        <f>K25</f>
        <v>#VALUE!</v>
      </c>
      <c r="L28" s="80"/>
      <c r="M28" s="21" t="e">
        <f>M25</f>
        <v>#VALUE!</v>
      </c>
    </row>
    <row r="29" spans="1:13" ht="13.5" thickBot="1" x14ac:dyDescent="0.25">
      <c r="B29" s="56" t="s">
        <v>57</v>
      </c>
      <c r="C29" s="84" t="e">
        <f>SUM(C27:C28)</f>
        <v>#VALUE!</v>
      </c>
      <c r="D29" s="85"/>
      <c r="E29" s="86">
        <f>SUM(E27:E28)</f>
        <v>389.67307692307691</v>
      </c>
      <c r="F29" s="85"/>
      <c r="G29" s="86" t="e">
        <f>SUM(G27:G28)</f>
        <v>#VALUE!</v>
      </c>
      <c r="I29" s="86" t="e">
        <f>SUM(I27:I28)</f>
        <v>#VALUE!</v>
      </c>
      <c r="K29" s="86" t="e">
        <f>SUM(K27:K28)</f>
        <v>#VALUE!</v>
      </c>
      <c r="L29" s="87"/>
      <c r="M29" s="86" t="e">
        <f>SUM(M27:M28)</f>
        <v>#VALUE!</v>
      </c>
    </row>
    <row r="30" spans="1:13" x14ac:dyDescent="0.2">
      <c r="B30" s="56"/>
      <c r="F30" s="80"/>
    </row>
    <row r="31" spans="1:13" x14ac:dyDescent="0.2">
      <c r="B31" s="56" t="s">
        <v>58</v>
      </c>
      <c r="C31" s="63">
        <f>$C$13</f>
        <v>3846.1538461538462</v>
      </c>
      <c r="D31" s="63"/>
      <c r="E31" s="63">
        <f>$C$13</f>
        <v>3846.1538461538462</v>
      </c>
      <c r="F31" s="80"/>
      <c r="G31" s="63">
        <f>$C$13</f>
        <v>3846.1538461538462</v>
      </c>
      <c r="I31" s="63">
        <f>$C$13</f>
        <v>3846.1538461538462</v>
      </c>
      <c r="K31" s="63">
        <f>$C$13</f>
        <v>3846.1538461538462</v>
      </c>
      <c r="L31" s="63"/>
      <c r="M31" s="63">
        <f>$C$13</f>
        <v>3846.1538461538462</v>
      </c>
    </row>
    <row r="32" spans="1:13" x14ac:dyDescent="0.2">
      <c r="B32" s="56" t="s">
        <v>59</v>
      </c>
      <c r="C32" s="63" t="e">
        <f>-C29</f>
        <v>#VALUE!</v>
      </c>
      <c r="D32" s="63"/>
      <c r="E32" s="63">
        <f>-E29</f>
        <v>-389.67307692307691</v>
      </c>
      <c r="F32" s="88"/>
      <c r="G32" s="63" t="e">
        <f>-G29</f>
        <v>#VALUE!</v>
      </c>
      <c r="I32" s="63" t="e">
        <f>-I29</f>
        <v>#VALUE!</v>
      </c>
      <c r="K32" s="63" t="e">
        <f>-K29</f>
        <v>#VALUE!</v>
      </c>
      <c r="L32" s="63"/>
      <c r="M32" s="63" t="e">
        <f>-M29</f>
        <v>#VALUE!</v>
      </c>
    </row>
    <row r="33" spans="1:13" x14ac:dyDescent="0.2">
      <c r="B33" s="56" t="s">
        <v>60</v>
      </c>
      <c r="C33" s="63">
        <f>IF(OR($B$18="N",C22="No match"),0,(C31-M13)*0.0765*-1)</f>
        <v>0</v>
      </c>
      <c r="D33" s="63"/>
      <c r="E33" s="63">
        <f>IF(OR($B$18="N",E22="No match"),0,(C31-M13)*0.0765*-1)</f>
        <v>-283.52076923076925</v>
      </c>
      <c r="F33" s="88"/>
      <c r="G33" s="63">
        <f>IF(OR($B$18="N",G22="No match"),0,(C31-M13)*0.0765*-1)</f>
        <v>0</v>
      </c>
      <c r="I33" s="63">
        <f>IF(OR($B$18="N",I22="No match"),0,(C31-M13)*0.0765*-1)</f>
        <v>0</v>
      </c>
      <c r="K33" s="63">
        <f>IF(OR($B$18="N",K22="No match"),0,(C31-M13)*0.0765*-1)</f>
        <v>0</v>
      </c>
      <c r="L33" s="63"/>
      <c r="M33" s="63">
        <f>IF(OR($B$18="N",M22="No match"),0,(C31-M13)*0.0765*-1)</f>
        <v>0</v>
      </c>
    </row>
    <row r="34" spans="1:13" ht="13.5" thickBot="1" x14ac:dyDescent="0.25">
      <c r="B34" s="56" t="s">
        <v>15</v>
      </c>
      <c r="C34" s="63">
        <f>-$B$16-$B$17</f>
        <v>-545.76923076923072</v>
      </c>
      <c r="D34" s="63"/>
      <c r="E34" s="63">
        <f>-$B$16-$B$17</f>
        <v>-545.76923076923072</v>
      </c>
      <c r="F34" s="88"/>
      <c r="G34" s="63">
        <f>-$B$16-$B$17</f>
        <v>-545.76923076923072</v>
      </c>
      <c r="I34" s="63">
        <f>-$B$16-$B$17</f>
        <v>-545.76923076923072</v>
      </c>
      <c r="K34" s="63">
        <f>-$B$16-$B$17</f>
        <v>-545.76923076923072</v>
      </c>
      <c r="L34" s="63"/>
      <c r="M34" s="63">
        <f>-$B$16-$B$17</f>
        <v>-545.76923076923072</v>
      </c>
    </row>
    <row r="35" spans="1:13" ht="13.5" thickBot="1" x14ac:dyDescent="0.25">
      <c r="B35" s="56" t="s">
        <v>13</v>
      </c>
      <c r="C35" s="86" t="e">
        <f>SUM(C31:C34)</f>
        <v>#VALUE!</v>
      </c>
      <c r="D35" s="89"/>
      <c r="E35" s="86">
        <f>SUM(E31:E34)</f>
        <v>2627.1907692307695</v>
      </c>
      <c r="F35" s="89"/>
      <c r="G35" s="86" t="e">
        <f>SUM(G31:G34)</f>
        <v>#VALUE!</v>
      </c>
      <c r="I35" s="86" t="e">
        <f>SUM(I31:I34)</f>
        <v>#VALUE!</v>
      </c>
      <c r="K35" s="90" t="e">
        <f>SUM(K31:K34)</f>
        <v>#VALUE!</v>
      </c>
      <c r="L35" s="87"/>
      <c r="M35" s="86" t="e">
        <f>SUM(M31:M34)</f>
        <v>#VALUE!</v>
      </c>
    </row>
    <row r="36" spans="1:13" x14ac:dyDescent="0.2">
      <c r="A36" s="56"/>
      <c r="F36" s="80"/>
    </row>
    <row r="37" spans="1:13" x14ac:dyDescent="0.2">
      <c r="F37" s="80"/>
    </row>
    <row r="38" spans="1:13" x14ac:dyDescent="0.2">
      <c r="F38" s="80"/>
    </row>
    <row r="39" spans="1:13" x14ac:dyDescent="0.2">
      <c r="F39" s="80"/>
    </row>
    <row r="40" spans="1:13" x14ac:dyDescent="0.2">
      <c r="A40" s="20" t="s">
        <v>61</v>
      </c>
      <c r="B40" s="91">
        <v>90</v>
      </c>
      <c r="C40" s="63"/>
      <c r="D40" s="63"/>
      <c r="F40" s="88"/>
    </row>
    <row r="41" spans="1:13" x14ac:dyDescent="0.2">
      <c r="A41" s="20" t="s">
        <v>62</v>
      </c>
      <c r="B41" s="91">
        <v>25</v>
      </c>
      <c r="C41" s="63"/>
      <c r="D41" s="63"/>
      <c r="F41" s="88"/>
    </row>
    <row r="42" spans="1:13" x14ac:dyDescent="0.2">
      <c r="B42" s="91"/>
      <c r="C42" s="63"/>
      <c r="D42" s="63"/>
      <c r="F42" s="88"/>
    </row>
    <row r="43" spans="1:13" x14ac:dyDescent="0.2">
      <c r="A43" s="20" t="s">
        <v>63</v>
      </c>
      <c r="B43" s="91">
        <f>'M T Current'!$B$43</f>
        <v>4050</v>
      </c>
      <c r="F43" s="80"/>
    </row>
    <row r="44" spans="1:13" x14ac:dyDescent="0.2">
      <c r="A44" s="20" t="s">
        <v>64</v>
      </c>
      <c r="B44" s="92">
        <f>B43/26</f>
        <v>155.76923076923077</v>
      </c>
      <c r="F44" s="80"/>
    </row>
    <row r="45" spans="1:13" x14ac:dyDescent="0.2">
      <c r="B45" s="92"/>
      <c r="F45" s="80"/>
    </row>
    <row r="46" spans="1:13" x14ac:dyDescent="0.2">
      <c r="A46" s="20" t="s">
        <v>65</v>
      </c>
      <c r="B46" s="91">
        <f>'M T Current'!B46</f>
        <v>8650</v>
      </c>
      <c r="C46" s="91">
        <f>'M T Current'!C46</f>
        <v>27300</v>
      </c>
      <c r="D46" s="91">
        <f>'M T Current'!D46</f>
        <v>0</v>
      </c>
      <c r="E46" s="20" t="s">
        <v>34</v>
      </c>
      <c r="F46" s="93">
        <v>0.1</v>
      </c>
      <c r="G46" s="91">
        <f t="shared" ref="G46:G51" si="2">B46</f>
        <v>8650</v>
      </c>
    </row>
    <row r="47" spans="1:13" x14ac:dyDescent="0.2">
      <c r="B47" s="91">
        <f>'M T Current'!B47</f>
        <v>27300</v>
      </c>
      <c r="C47" s="91">
        <f>'M T Current'!C47</f>
        <v>84550</v>
      </c>
      <c r="D47" s="91">
        <f>'M T Current'!D47</f>
        <v>1865</v>
      </c>
      <c r="E47" s="20" t="s">
        <v>34</v>
      </c>
      <c r="F47" s="94">
        <v>0.15</v>
      </c>
      <c r="G47" s="91">
        <f t="shared" si="2"/>
        <v>27300</v>
      </c>
    </row>
    <row r="48" spans="1:13" x14ac:dyDescent="0.2">
      <c r="B48" s="91">
        <f>'M T Current'!B48</f>
        <v>84550</v>
      </c>
      <c r="C48" s="91">
        <f>'M T Current'!C48</f>
        <v>161750</v>
      </c>
      <c r="D48" s="91">
        <f>'M T Current'!D48</f>
        <v>10452.5</v>
      </c>
      <c r="E48" s="20" t="s">
        <v>34</v>
      </c>
      <c r="F48" s="94">
        <v>0.25</v>
      </c>
      <c r="G48" s="91">
        <f t="shared" si="2"/>
        <v>84550</v>
      </c>
    </row>
    <row r="49" spans="1:7" x14ac:dyDescent="0.2">
      <c r="B49" s="91">
        <f>'M T Current'!B49</f>
        <v>161750</v>
      </c>
      <c r="C49" s="91">
        <f>'M T Current'!C49</f>
        <v>242000</v>
      </c>
      <c r="D49" s="91">
        <f>'M T Current'!D49</f>
        <v>29752.5</v>
      </c>
      <c r="E49" s="20" t="s">
        <v>34</v>
      </c>
      <c r="F49" s="94">
        <v>0.28000000000000003</v>
      </c>
      <c r="G49" s="91">
        <f t="shared" si="2"/>
        <v>161750</v>
      </c>
    </row>
    <row r="50" spans="1:7" x14ac:dyDescent="0.2">
      <c r="B50" s="91">
        <f>'M T Current'!B50</f>
        <v>242000</v>
      </c>
      <c r="C50" s="91">
        <f>'M T Current'!C50</f>
        <v>425350</v>
      </c>
      <c r="D50" s="91">
        <f>'M T Current'!D50</f>
        <v>52222.5</v>
      </c>
      <c r="E50" s="20" t="s">
        <v>34</v>
      </c>
      <c r="F50" s="94">
        <v>0.33</v>
      </c>
      <c r="G50" s="91">
        <f t="shared" si="2"/>
        <v>242000</v>
      </c>
    </row>
    <row r="51" spans="1:7" x14ac:dyDescent="0.2">
      <c r="B51" s="91">
        <f>'M T Current'!B51</f>
        <v>425350</v>
      </c>
      <c r="C51" s="91">
        <f>'M T Current'!C51</f>
        <v>479350</v>
      </c>
      <c r="D51" s="91">
        <f>'M T Current'!D51</f>
        <v>112728</v>
      </c>
      <c r="E51" s="20" t="s">
        <v>34</v>
      </c>
      <c r="F51" s="94">
        <v>0.35</v>
      </c>
      <c r="G51" s="91">
        <f t="shared" si="2"/>
        <v>425350</v>
      </c>
    </row>
    <row r="52" spans="1:7" x14ac:dyDescent="0.2">
      <c r="F52" s="94"/>
    </row>
    <row r="53" spans="1:7" x14ac:dyDescent="0.2">
      <c r="A53" s="20" t="s">
        <v>104</v>
      </c>
      <c r="F53" s="80"/>
    </row>
    <row r="54" spans="1:7" x14ac:dyDescent="0.2">
      <c r="B54" s="91">
        <f>'M T Current'!B54</f>
        <v>332.69230769230768</v>
      </c>
      <c r="C54" s="91">
        <f>'M T Current'!C54</f>
        <v>1050</v>
      </c>
      <c r="D54" s="91">
        <f>'M T Current'!D54</f>
        <v>0</v>
      </c>
      <c r="E54" s="20" t="s">
        <v>34</v>
      </c>
      <c r="F54" s="93">
        <v>0.1</v>
      </c>
      <c r="G54" s="91">
        <f>G46/26</f>
        <v>332.69230769230768</v>
      </c>
    </row>
    <row r="55" spans="1:7" x14ac:dyDescent="0.2">
      <c r="B55" s="91">
        <f>'M T Current'!B55</f>
        <v>1050</v>
      </c>
      <c r="C55" s="91">
        <f>'M T Current'!C55</f>
        <v>3251.9230769230771</v>
      </c>
      <c r="D55" s="91">
        <f>'M T Current'!D55</f>
        <v>71.730769230769226</v>
      </c>
      <c r="E55" s="20" t="s">
        <v>34</v>
      </c>
      <c r="F55" s="94">
        <v>0.15</v>
      </c>
      <c r="G55" s="91">
        <f t="shared" ref="G55:G59" si="3">G47/26</f>
        <v>1050</v>
      </c>
    </row>
    <row r="56" spans="1:7" x14ac:dyDescent="0.2">
      <c r="B56" s="91">
        <f>'M T Current'!B56</f>
        <v>3251.9230769230771</v>
      </c>
      <c r="C56" s="91">
        <f>'M T Current'!C56</f>
        <v>6221.1538461538457</v>
      </c>
      <c r="D56" s="91">
        <f>'M T Current'!D56</f>
        <v>402.01923076923077</v>
      </c>
      <c r="E56" s="20" t="s">
        <v>34</v>
      </c>
      <c r="F56" s="94">
        <v>0.25</v>
      </c>
      <c r="G56" s="91">
        <f t="shared" si="3"/>
        <v>3251.9230769230771</v>
      </c>
    </row>
    <row r="57" spans="1:7" x14ac:dyDescent="0.2">
      <c r="B57" s="91">
        <f>'M T Current'!B57</f>
        <v>6221.1538461538457</v>
      </c>
      <c r="C57" s="91">
        <f>'M T Current'!C57</f>
        <v>9307.6923076923085</v>
      </c>
      <c r="D57" s="91">
        <f>'M T Current'!D57</f>
        <v>1144.3269230769231</v>
      </c>
      <c r="E57" s="20" t="s">
        <v>34</v>
      </c>
      <c r="F57" s="94">
        <v>0.28000000000000003</v>
      </c>
      <c r="G57" s="91">
        <f t="shared" si="3"/>
        <v>6221.1538461538457</v>
      </c>
    </row>
    <row r="58" spans="1:7" x14ac:dyDescent="0.2">
      <c r="B58" s="91">
        <f>'M T Current'!B58</f>
        <v>9307.6923076923085</v>
      </c>
      <c r="C58" s="91">
        <f>'M T Current'!C58</f>
        <v>16359.615384615385</v>
      </c>
      <c r="D58" s="91">
        <f>'M T Current'!D58</f>
        <v>2008.5576923076924</v>
      </c>
      <c r="E58" s="20" t="s">
        <v>34</v>
      </c>
      <c r="F58" s="94">
        <v>0.33</v>
      </c>
      <c r="G58" s="91">
        <f t="shared" si="3"/>
        <v>9307.6923076923085</v>
      </c>
    </row>
    <row r="59" spans="1:7" x14ac:dyDescent="0.2">
      <c r="B59" s="91">
        <f>'M T Current'!B59</f>
        <v>16359.615384615385</v>
      </c>
      <c r="C59" s="91">
        <f>'M T Current'!C59</f>
        <v>18436.538461538461</v>
      </c>
      <c r="D59" s="91">
        <f>'M T Current'!D59</f>
        <v>4335.6923076923076</v>
      </c>
      <c r="E59" s="20" t="s">
        <v>34</v>
      </c>
      <c r="F59" s="94">
        <v>0.35</v>
      </c>
      <c r="G59" s="91">
        <f t="shared" si="3"/>
        <v>16359.615384615385</v>
      </c>
    </row>
    <row r="60" spans="1:7" x14ac:dyDescent="0.2">
      <c r="F60" s="80"/>
    </row>
    <row r="61" spans="1:7" x14ac:dyDescent="0.2">
      <c r="A61" s="20" t="s">
        <v>66</v>
      </c>
      <c r="B61" s="91">
        <f>B43/27</f>
        <v>150</v>
      </c>
      <c r="F61" s="80"/>
    </row>
    <row r="62" spans="1:7" x14ac:dyDescent="0.2">
      <c r="F62" s="80"/>
    </row>
    <row r="63" spans="1:7" x14ac:dyDescent="0.2">
      <c r="F63" s="80"/>
    </row>
    <row r="64" spans="1:7" x14ac:dyDescent="0.2">
      <c r="F64" s="80"/>
    </row>
    <row r="65" spans="6:6" x14ac:dyDescent="0.2">
      <c r="F65" s="80"/>
    </row>
    <row r="66" spans="6:6" x14ac:dyDescent="0.2">
      <c r="F66" s="80"/>
    </row>
    <row r="67" spans="6:6" x14ac:dyDescent="0.2">
      <c r="F67" s="80"/>
    </row>
  </sheetData>
  <mergeCells count="1">
    <mergeCell ref="E4:F4"/>
  </mergeCells>
  <pageMargins left="0.25" right="0.25" top="1" bottom="1" header="0.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8"/>
  <sheetViews>
    <sheetView topLeftCell="A5" workbookViewId="0">
      <selection activeCell="B15" sqref="B15"/>
    </sheetView>
  </sheetViews>
  <sheetFormatPr defaultRowHeight="15" x14ac:dyDescent="0.25"/>
  <cols>
    <col min="1" max="1" width="30.42578125" customWidth="1"/>
    <col min="2" max="2" width="10.85546875" bestFit="1" customWidth="1"/>
    <col min="3" max="3" width="3.5703125" customWidth="1"/>
    <col min="4" max="4" width="17.85546875" customWidth="1"/>
    <col min="5" max="5" width="3.5703125" customWidth="1"/>
    <col min="6" max="6" width="15.28515625" customWidth="1"/>
    <col min="7" max="7" width="3.5703125" customWidth="1"/>
    <col min="8" max="8" width="14" customWidth="1"/>
  </cols>
  <sheetData>
    <row r="1" spans="1:8" x14ac:dyDescent="0.25">
      <c r="A1" s="124" t="s">
        <v>102</v>
      </c>
      <c r="B1" s="124"/>
      <c r="C1" s="124"/>
      <c r="D1" s="124"/>
      <c r="E1" s="124"/>
      <c r="F1" s="124"/>
      <c r="G1" s="124"/>
      <c r="H1" s="124"/>
    </row>
    <row r="3" spans="1:8" x14ac:dyDescent="0.25">
      <c r="A3" t="s">
        <v>91</v>
      </c>
    </row>
    <row r="4" spans="1:8" x14ac:dyDescent="0.25">
      <c r="A4" t="s">
        <v>92</v>
      </c>
    </row>
    <row r="5" spans="1:8" x14ac:dyDescent="0.25">
      <c r="A5" t="s">
        <v>103</v>
      </c>
    </row>
    <row r="7" spans="1:8" x14ac:dyDescent="0.25">
      <c r="A7" s="14" t="s">
        <v>83</v>
      </c>
    </row>
    <row r="8" spans="1:8" x14ac:dyDescent="0.25">
      <c r="A8" t="s">
        <v>84</v>
      </c>
    </row>
    <row r="9" spans="1:8" x14ac:dyDescent="0.25">
      <c r="A9" t="s">
        <v>85</v>
      </c>
    </row>
    <row r="10" spans="1:8" x14ac:dyDescent="0.25">
      <c r="A10" t="s">
        <v>86</v>
      </c>
    </row>
    <row r="11" spans="1:8" x14ac:dyDescent="0.25">
      <c r="A11" t="s">
        <v>87</v>
      </c>
    </row>
    <row r="13" spans="1:8" x14ac:dyDescent="0.25">
      <c r="A13" t="s">
        <v>82</v>
      </c>
      <c r="B13" s="102">
        <v>75000</v>
      </c>
      <c r="C13" s="5"/>
      <c r="D13" s="5"/>
      <c r="E13" s="5"/>
    </row>
    <row r="14" spans="1:8" hidden="1" x14ac:dyDescent="0.25">
      <c r="A14" t="s">
        <v>16</v>
      </c>
      <c r="B14" s="102">
        <f>B13/19.5</f>
        <v>3846.1538461538462</v>
      </c>
      <c r="C14" s="5"/>
      <c r="D14" s="5"/>
      <c r="E14" s="5"/>
    </row>
    <row r="15" spans="1:8" x14ac:dyDescent="0.25">
      <c r="A15" t="s">
        <v>89</v>
      </c>
      <c r="B15" s="105"/>
      <c r="C15" s="5"/>
      <c r="D15" s="5"/>
      <c r="E15" s="5"/>
    </row>
    <row r="16" spans="1:8" x14ac:dyDescent="0.25">
      <c r="A16" s="106" t="s">
        <v>115</v>
      </c>
      <c r="B16" s="103">
        <v>0.03</v>
      </c>
      <c r="C16" s="4"/>
      <c r="D16" s="4"/>
      <c r="E16" s="4"/>
    </row>
    <row r="17" spans="1:8" x14ac:dyDescent="0.25">
      <c r="A17" s="106" t="s">
        <v>98</v>
      </c>
      <c r="B17" s="103">
        <v>0.03</v>
      </c>
      <c r="C17" s="4"/>
      <c r="D17" s="4"/>
      <c r="E17" s="4"/>
    </row>
    <row r="18" spans="1:8" x14ac:dyDescent="0.25">
      <c r="A18" s="106" t="s">
        <v>69</v>
      </c>
      <c r="B18" s="104">
        <v>90</v>
      </c>
      <c r="C18" s="4"/>
      <c r="D18" s="4"/>
      <c r="E18" s="4"/>
    </row>
    <row r="19" spans="1:8" x14ac:dyDescent="0.25">
      <c r="A19" s="106" t="s">
        <v>72</v>
      </c>
      <c r="B19" s="104">
        <v>50</v>
      </c>
      <c r="C19" s="4"/>
      <c r="D19" s="4"/>
      <c r="E19" s="4"/>
    </row>
    <row r="20" spans="1:8" x14ac:dyDescent="0.25">
      <c r="A20" s="106" t="s">
        <v>70</v>
      </c>
      <c r="B20" s="104">
        <v>150</v>
      </c>
      <c r="C20" s="4"/>
      <c r="D20" s="4"/>
      <c r="E20" s="4"/>
    </row>
    <row r="21" spans="1:8" x14ac:dyDescent="0.25">
      <c r="A21" s="106" t="s">
        <v>71</v>
      </c>
      <c r="B21" s="104">
        <v>70</v>
      </c>
      <c r="C21" s="4"/>
      <c r="D21" s="4"/>
      <c r="E21" s="4"/>
    </row>
    <row r="22" spans="1:8" x14ac:dyDescent="0.25">
      <c r="A22" s="106" t="s">
        <v>67</v>
      </c>
      <c r="B22" s="111" t="s">
        <v>122</v>
      </c>
      <c r="C22" s="6"/>
      <c r="D22" s="6"/>
      <c r="E22" s="6"/>
    </row>
    <row r="23" spans="1:8" x14ac:dyDescent="0.25">
      <c r="A23" s="106" t="s">
        <v>68</v>
      </c>
      <c r="B23" s="119">
        <v>1</v>
      </c>
    </row>
    <row r="24" spans="1:8" x14ac:dyDescent="0.25">
      <c r="A24" s="106"/>
      <c r="B24" s="107"/>
    </row>
    <row r="25" spans="1:8" x14ac:dyDescent="0.25">
      <c r="B25" s="108" t="s">
        <v>95</v>
      </c>
      <c r="D25" s="2" t="s">
        <v>94</v>
      </c>
      <c r="F25" s="2" t="s">
        <v>93</v>
      </c>
      <c r="H25" s="2" t="s">
        <v>96</v>
      </c>
    </row>
    <row r="26" spans="1:8" ht="29.25" customHeight="1" x14ac:dyDescent="0.25">
      <c r="B26" s="17" t="s">
        <v>14</v>
      </c>
      <c r="D26" s="10" t="s">
        <v>26</v>
      </c>
      <c r="E26" s="18"/>
      <c r="F26" s="10" t="s">
        <v>17</v>
      </c>
      <c r="H26" s="10" t="s">
        <v>18</v>
      </c>
    </row>
    <row r="27" spans="1:8" x14ac:dyDescent="0.25">
      <c r="A27" t="s">
        <v>88</v>
      </c>
      <c r="B27" s="6">
        <f>B14</f>
        <v>3846.1538461538462</v>
      </c>
      <c r="C27" s="6"/>
      <c r="D27" s="6">
        <f>B14</f>
        <v>3846.1538461538462</v>
      </c>
      <c r="E27" s="6"/>
      <c r="F27" s="6">
        <f>B43</f>
        <v>2884.6153846153848</v>
      </c>
      <c r="G27" s="6"/>
      <c r="H27" s="6">
        <f>B43</f>
        <v>2884.6153846153848</v>
      </c>
    </row>
    <row r="28" spans="1:8" x14ac:dyDescent="0.25">
      <c r="A28" t="s">
        <v>15</v>
      </c>
      <c r="F28" s="6"/>
      <c r="G28" s="6"/>
    </row>
    <row r="29" spans="1:8" x14ac:dyDescent="0.25">
      <c r="A29" t="s">
        <v>10</v>
      </c>
      <c r="B29" s="6">
        <f>-$B$18</f>
        <v>-90</v>
      </c>
      <c r="C29" s="6"/>
      <c r="D29" s="6">
        <f>-B18*2</f>
        <v>-180</v>
      </c>
      <c r="E29" s="6"/>
      <c r="F29" s="6">
        <f>-$B$18</f>
        <v>-90</v>
      </c>
      <c r="G29" s="6"/>
      <c r="H29" s="6">
        <f>-$B$18</f>
        <v>-90</v>
      </c>
    </row>
    <row r="30" spans="1:8" x14ac:dyDescent="0.25">
      <c r="A30" t="s">
        <v>73</v>
      </c>
      <c r="B30" s="6">
        <f>$B$19*-1</f>
        <v>-50</v>
      </c>
      <c r="C30" s="6"/>
      <c r="D30" s="6">
        <f>$B$19*-2</f>
        <v>-100</v>
      </c>
      <c r="E30" s="6"/>
      <c r="F30" s="6">
        <f>$B$19*-1</f>
        <v>-50</v>
      </c>
      <c r="G30" s="6"/>
      <c r="H30" s="6">
        <f>$B$19*-1</f>
        <v>-50</v>
      </c>
    </row>
    <row r="31" spans="1:8" x14ac:dyDescent="0.25">
      <c r="A31" t="s">
        <v>11</v>
      </c>
      <c r="B31" s="6">
        <f>$B$14*-$B$16</f>
        <v>-115.38461538461539</v>
      </c>
      <c r="C31" s="6"/>
      <c r="D31" s="6">
        <f>$B$14*-$B$16</f>
        <v>-115.38461538461539</v>
      </c>
      <c r="E31" s="6"/>
      <c r="F31" s="6">
        <f>B42*-$B$16</f>
        <v>-112.5</v>
      </c>
      <c r="G31" s="6"/>
      <c r="H31" s="6">
        <v>0</v>
      </c>
    </row>
    <row r="32" spans="1:8" x14ac:dyDescent="0.25">
      <c r="A32" s="106" t="s">
        <v>98</v>
      </c>
      <c r="B32" s="6">
        <f>$B$14*-$B$17</f>
        <v>-115.38461538461539</v>
      </c>
      <c r="C32" s="6"/>
      <c r="D32" s="6">
        <f>$B$14*-$B$17</f>
        <v>-115.38461538461539</v>
      </c>
      <c r="E32" s="6"/>
      <c r="F32" s="6">
        <f>B42*-$B$17</f>
        <v>-112.5</v>
      </c>
      <c r="G32" s="6"/>
      <c r="H32" s="6">
        <v>0</v>
      </c>
    </row>
    <row r="33" spans="1:8" x14ac:dyDescent="0.25">
      <c r="A33" t="s">
        <v>74</v>
      </c>
      <c r="B33" s="6">
        <f>-$B$20</f>
        <v>-150</v>
      </c>
      <c r="C33" s="6"/>
      <c r="D33" s="6">
        <f>-$B$20</f>
        <v>-150</v>
      </c>
      <c r="E33" s="6"/>
      <c r="F33" s="6">
        <f>-$B$20</f>
        <v>-150</v>
      </c>
      <c r="G33" s="6"/>
      <c r="H33" s="6">
        <f>-$B$20</f>
        <v>-150</v>
      </c>
    </row>
    <row r="34" spans="1:8" x14ac:dyDescent="0.25">
      <c r="A34" t="s">
        <v>75</v>
      </c>
      <c r="B34" s="6">
        <f>-$B$21</f>
        <v>-70</v>
      </c>
      <c r="C34" s="6"/>
      <c r="D34" s="6">
        <f>-$B$21</f>
        <v>-70</v>
      </c>
      <c r="E34" s="6"/>
      <c r="F34" s="6">
        <f>-$B$21</f>
        <v>-70</v>
      </c>
      <c r="G34" s="6"/>
      <c r="H34" s="6">
        <f>-$B$21</f>
        <v>-70</v>
      </c>
    </row>
    <row r="35" spans="1:8" x14ac:dyDescent="0.25">
      <c r="A35" t="s">
        <v>100</v>
      </c>
      <c r="B35" s="6">
        <f>IF('S T Current'!$M$32&lt;0,'S T Current'!$M$32,IF('S T Current'!$K$32&lt;0,'S T Current'!$K$32,IF('S T Current'!$I$32&lt;0,'S T Current'!$I$32,IF('S T Current'!$G$32&lt;0,'S T Current'!$G$32,IF('S T Current'!$E$32&lt;0,'S T Current'!$E$32,IF('S T Current'!$C$32&lt;0,'S T Current'!$C$32,IF('M T Current'!$E$32&lt;0,'M T Current'!$E$32,IF('M T Current'!$M$32&lt;0,'M T Current'!$M$32,IF('M T Current'!$K$32&lt;0,'M T Current'!$K$32,IF('M T Current'!$I$32&lt;0,'M T Current'!$I$32,IF('M T Current'!$G$32&lt;0,'M T Current'!$G$32,IF('M T Current'!$C$32&lt;0,'M T Current'!$C$32,0))))))))))))</f>
        <v>-389.67307692307691</v>
      </c>
      <c r="C35" s="6"/>
      <c r="D35" s="6">
        <f>IF('S T Current DBL'!$M$32&lt;0,'S T Current DBL'!$M$32,IF('S T Current DBL'!$K$32&lt;0,'S T Current DBL'!$K$32,IF('S T Current DBL'!$I$32&lt;0,'S T Current DBL'!$I$32,IF('S T Current DBL'!$G$32&lt;0,'S T Current DBL'!$G$32,IF('S T Current DBL'!$E$32&lt;0,'S T Current DBL'!$E$32,IF('S T Current DBL'!$C$32&lt;0,'S T Current DBL'!$C$32,IF('M T Current DBL'!$E$32&lt;0,'M T Current DBL'!$E$32,IF('M T Current DBL'!$M$32&lt;0,'M T Current DBL'!$M$32,IF('M T Current DBL'!$K$32&lt;0,'M T Current DBL'!$K$32,IF('M T Current DBL'!$I$32&lt;0,'M T Current DBL'!$I$32,IF('M T Current DBL'!$G$32&lt;0,'M T Current DBL'!$G$32,IF('M T Current DBL'!$C$32&lt;0,'M T Current DBL'!$C$32,0))))))))))))</f>
        <v>-368.67307692307691</v>
      </c>
      <c r="E35" s="6"/>
      <c r="F35" s="6">
        <f>IF('S T DP Acc'!$M$32&lt;0,'S T DP Acc'!$M$32,IF('S T DP Acc'!$K$32&lt;0,'S T DP Acc'!$K$32,IF('S T DP Acc'!$I$32&lt;0,'S T DP Acc'!$I$32,IF('S T DP Acc'!$G$32&lt;0,'S T DP Acc'!$G$32,IF('S T DP Acc'!$E$32&lt;0,'S T DP Acc'!$E$32,IF('S T DP Acc'!$C$32&lt;0,'S T DP Acc'!$C$32,IF('M T DP Acc'!$M$32&lt;0,'M T DP Acc'!$M$32,IF('M T DP Acc'!$K$32&lt;0,'M T DP Acc'!$K$32,IF('M T DP Acc'!$I$32&lt;0,'M T DP Acc'!$I$32,IF('M T DP Acc'!$G$32&lt;0,'M T DP Acc'!$G$32,IF('M T DP Acc'!$E$32&lt;0,'M T DP Acc'!$E$32,IF('M T DP Acc'!$C$32&lt;0,'M T DP Acc'!$C$32,0))))))))))))</f>
        <v>-246.30769230769229</v>
      </c>
      <c r="G35" s="6"/>
      <c r="H35" s="6">
        <f>IF('S T DP Out'!$M$32&lt;0,'S T DP Out'!$M$32,IF('S T DP Out'!$K$32&lt;0,'S T DP Out'!$K$32,IF('S T DP Out'!$I$32&lt;0,'S T DP Out'!$I$32,IF('S T DP Out'!$G$32&lt;0,'S T DP Out'!$G$32,IF('S T DP Out'!$E$32&lt;0,'S T DP Out'!$E$32,IF('S T DP Out'!$C$32&lt;0,'S T DP Out'!$C$32,IF('M T DP Out'!$M$32&lt;0,'M T DP Out'!$M$32,IF('M T DP Out'!$K$32&lt;0,'M T DP Out'!$K$32,IF('M T DP Out'!$I$32&lt;0,'M T DP Out'!$I$32,IF('M T DP Out'!$G$32&lt;0,'M T DP Out'!$G$32,IF('M T DP Out'!$E$32&lt;0,'M T DP Out'!$E$32,IF('M T DP Out'!$C$32&lt;0,'M T DP Out'!$C$32,0))))))))))))</f>
        <v>-280.05769230769226</v>
      </c>
    </row>
    <row r="36" spans="1:8" x14ac:dyDescent="0.25">
      <c r="A36" t="s">
        <v>101</v>
      </c>
      <c r="B36" s="7">
        <f>IF('S T Current'!$M$33&lt;0,'S T Current'!$M$33,IF('S T Current'!$K$33&lt;0,'S T Current'!$K$33,IF('S T Current'!$I$33&lt;0,'S T Current'!$I$33,IF('S T Current'!$G$33&lt;0,'S T Current'!$G$33,IF('S T Current'!$E$33&lt;0,'S T Current'!$E$33,IF('S T Current'!$C$33&lt;0,'S T Current'!$C$33,IF('M T Current'!$E$33&lt;0,'M T Current'!$E$33,IF('M T Current'!$M$33&lt;0,'M T Current'!$M$33,IF('M T Current'!$K$33&lt;0,'M T Current'!$K$33,IF('M T Current'!$I$33&lt;0,'M T Current'!$I$33,IF('M T Current'!$G$33&lt;0,'M T Current'!$G$33,IF('M T Current'!$C$33&lt;0,'M T Current'!$C$33,0))))))))))))</f>
        <v>-283.52076923076925</v>
      </c>
      <c r="C36" s="8"/>
      <c r="D36" s="7">
        <f>IF('S T Current DBL'!$M$33&lt;0,'S T Current DBL'!$M$33,IF('S T Current DBL'!$K$33&lt;0,'S T Current DBL'!$K$33,IF('S T Current DBL'!$I$33&lt;0,'S T Current DBL'!$I$33,IF('S T Current DBL'!$G$33&lt;0,'S T Current DBL'!$G$33,IF('S T Current DBL'!$E$33&lt;0,'S T Current DBL'!$E$33,IF('S T Current DBL'!$C$33&lt;0,'S T Current DBL'!$C$33,IF('M T Current DBL'!$E$33&lt;0,'M T Current DBL'!$E$33,IF('M T Current DBL'!$M$33&lt;0,'M T Current DBL'!$M$33,IF('M T Current DBL'!$K$33&lt;0,'M T Current DBL'!$K$33,IF('M T Current DBL'!$I$33&lt;0,'M T Current DBL'!$I$33,IF('M T Current DBL'!$G$33&lt;0,'M T Current DBL'!$G$33,IF('M T Current DBL'!$C$33&lt;0,'M T Current DBL'!$C$33,0))))))))))))</f>
        <v>-272.81076923076921</v>
      </c>
      <c r="E36" s="8"/>
      <c r="F36" s="7">
        <f>IF('S T DP Acc'!$M$33&lt;0,'S T DP Acc'!$M$33,IF('S T DP Acc'!$K$33&lt;0,'S T DP Acc'!$K$33,IF('S T DP Acc'!$I$33&lt;0,'S T DP Acc'!$I$33,IF('S T DP Acc'!$G$33&lt;0,'S T DP Acc'!$G$33,IF('S T DP Acc'!$E$33&lt;0,'S T DP Acc'!$E$33,IF('S T DP Acc'!$C$33&lt;0,'S T DP Acc'!$C$33,IF('M T DP Acc'!$M$33&lt;0,'M T DP Acc'!$M$33,IF('M T DP Acc'!$K$33&lt;0,'M T DP Acc'!$K$33,IF('M T DP Acc'!$I$33&lt;0,'M T DP Acc'!$I$33,IF('M T DP Acc'!$G$33&lt;0,'M T DP Acc'!$G$33,IF('M T DP Acc'!$E$33&lt;0,'M T DP Acc'!$E$33,IF('M T DP Acc'!$C$33&lt;0,'M T DP Acc'!$C$33,0))))))))))))</f>
        <v>-209.96307692307693</v>
      </c>
      <c r="G36" s="8"/>
      <c r="H36" s="7">
        <f>IF('S T DP Out'!$M$33&lt;0,'S T DP Out'!$M$33,IF('S T DP Out'!$K$33&lt;0,'S T DP Out'!$K$33,IF('S T DP Out'!$I$33&lt;0,'S T DP Out'!$I$33,IF('S T DP Out'!$G$33&lt;0,'S T DP Out'!$G$33,IF('S T DP Out'!$E$33&lt;0,'S T DP Out'!$E$33,IF('S T DP Out'!$C$33&lt;0,'S T DP Out'!$C$33,IF('M T DP Out'!$M$33&lt;0,'M T DP Out'!$M$33,IF('M T DP Out'!$K$33&lt;0,'M T DP Out'!$K$33,IF('M T DP Out'!$I$33&lt;0,'M T DP Out'!$I$33,IF('M T DP Out'!$G$33&lt;0,'M T DP Out'!$G$33,IF('M T DP Out'!$E$33&lt;0,'M T DP Out'!$E$33,IF('M T DP Out'!$C$33&lt;0,'M T DP Out'!$C$33,0))))))))))))</f>
        <v>-209.96307692307693</v>
      </c>
    </row>
    <row r="37" spans="1:8" x14ac:dyDescent="0.25">
      <c r="A37" t="s">
        <v>12</v>
      </c>
      <c r="B37" s="6">
        <f>SUM(B29:B36)</f>
        <v>-1263.9630769230769</v>
      </c>
      <c r="C37" s="6"/>
      <c r="D37" s="6">
        <f>SUM(D29:D36)</f>
        <v>-1372.2530769230768</v>
      </c>
      <c r="E37" s="8"/>
      <c r="F37" s="6">
        <f>SUM(F29:F36)</f>
        <v>-1041.2707692307692</v>
      </c>
      <c r="G37" s="6"/>
      <c r="H37" s="6">
        <f>SUM(H29:H36)</f>
        <v>-850.02076923076925</v>
      </c>
    </row>
    <row r="38" spans="1:8" ht="15.75" thickBot="1" x14ac:dyDescent="0.3">
      <c r="A38" t="s">
        <v>13</v>
      </c>
      <c r="B38" s="9">
        <f>B27+B37</f>
        <v>2582.1907692307695</v>
      </c>
      <c r="C38" s="6"/>
      <c r="D38" s="9">
        <f>D27+D37</f>
        <v>2473.9007692307696</v>
      </c>
      <c r="E38" s="8"/>
      <c r="F38" s="9">
        <f>F27+F37</f>
        <v>1843.3446153846155</v>
      </c>
      <c r="G38" s="6"/>
      <c r="H38" s="9">
        <f>H27+H37</f>
        <v>2034.5946153846155</v>
      </c>
    </row>
    <row r="39" spans="1:8" ht="15.75" thickTop="1" x14ac:dyDescent="0.25"/>
    <row r="40" spans="1:8" x14ac:dyDescent="0.25">
      <c r="A40" t="s">
        <v>99</v>
      </c>
    </row>
    <row r="41" spans="1:8" x14ac:dyDescent="0.25">
      <c r="A41" t="s">
        <v>121</v>
      </c>
    </row>
    <row r="42" spans="1:8" hidden="1" x14ac:dyDescent="0.25">
      <c r="A42" s="106" t="s">
        <v>8</v>
      </c>
      <c r="B42" s="104">
        <f>B13/20</f>
        <v>3750</v>
      </c>
      <c r="C42" s="6"/>
      <c r="E42" s="6"/>
    </row>
    <row r="43" spans="1:8" hidden="1" x14ac:dyDescent="0.25">
      <c r="A43" s="106" t="s">
        <v>9</v>
      </c>
      <c r="B43" s="104">
        <f>B13/26</f>
        <v>2884.6153846153848</v>
      </c>
      <c r="C43" s="6"/>
      <c r="D43" s="6"/>
      <c r="E43" s="6"/>
    </row>
    <row r="44" spans="1:8" x14ac:dyDescent="0.25">
      <c r="A44" s="106"/>
      <c r="B44" s="110"/>
      <c r="C44" s="6"/>
      <c r="D44" s="6"/>
      <c r="E44" s="6"/>
    </row>
    <row r="45" spans="1:8" x14ac:dyDescent="0.25">
      <c r="A45" t="s">
        <v>117</v>
      </c>
      <c r="B45" s="6"/>
    </row>
    <row r="46" spans="1:8" x14ac:dyDescent="0.25">
      <c r="A46" s="120" t="s">
        <v>116</v>
      </c>
    </row>
    <row r="234" spans="6:6" x14ac:dyDescent="0.25">
      <c r="F234" s="1">
        <v>4.17</v>
      </c>
    </row>
    <row r="235" spans="6:6" x14ac:dyDescent="0.25">
      <c r="F235" s="1">
        <v>7.5</v>
      </c>
    </row>
    <row r="236" spans="6:6" x14ac:dyDescent="0.25">
      <c r="F236" s="1">
        <v>15</v>
      </c>
    </row>
    <row r="237" spans="6:6" x14ac:dyDescent="0.25">
      <c r="F237" s="1">
        <v>25</v>
      </c>
    </row>
    <row r="238" spans="6:6" x14ac:dyDescent="0.25">
      <c r="F238" s="1">
        <v>90</v>
      </c>
    </row>
  </sheetData>
  <sheetProtection sheet="1" selectLockedCells="1"/>
  <mergeCells count="1">
    <mergeCell ref="A1:H1"/>
  </mergeCells>
  <dataValidations xWindow="332" yWindow="547" count="9">
    <dataValidation type="list" allowBlank="1" showInputMessage="1" showErrorMessage="1" prompt="Choose M, for Married, or S, for Single, from the list based on your tax filing status on your W-4.  If you are married claiming single then choose S." sqref="B22">
      <formula1>"M,S"</formula1>
    </dataValidation>
    <dataValidation type="whole" operator="greaterThanOrEqual" allowBlank="1" showInputMessage="1" showErrorMessage="1" prompt="Input the # of allowances you claim on your W-4" sqref="B23">
      <formula1>0</formula1>
    </dataValidation>
    <dataValidation type="decimal" allowBlank="1" showInputMessage="1" showErrorMessage="1" error="You have entered an invalid amount" prompt="Input your voluntary ORP contribution percentage.  If you are not an ORP participant input 0.  Valid values are 0 - 5.14." sqref="B16">
      <formula1>0</formula1>
      <formula2>5.14</formula2>
    </dataValidation>
    <dataValidation type="list" allowBlank="1" showInputMessage="1" showErrorMessage="1" prompt="Choose your health insurance contribution amount from the drop down list." sqref="B18">
      <formula1>$F$234:$F$238</formula1>
    </dataValidation>
    <dataValidation allowBlank="1" showInputMessage="1" showErrorMessage="1" prompt="Input the sum of your pre tax insurance contributions i.e. dental, vision, supplemental medical, flexible spending accounts" sqref="B19"/>
    <dataValidation allowBlank="1" showInputMessage="1" showErrorMessage="1" prompt="Input your retirement contribution amount(s) other than ORP. i.e. State Deferred Comp, TIAA-CREF, Valic, Metlife." sqref="B20"/>
    <dataValidation allowBlank="1" showInputMessage="1" showErrorMessage="1" prompt="Input the sum of other miscellaneous deductions i.e. Child Support,United Way, Gabor, UWF Foundation, UFF, Nautilus Card, etc." sqref="B21"/>
    <dataValidation allowBlank="1" showInputMessage="1" showErrorMessage="1" prompt="Input your current 9 month annual salary" sqref="B13"/>
    <dataValidation type="decimal" allowBlank="1" showInputMessage="1" showErrorMessage="1" error="You have entered an invalid amount" prompt="Input 3% for the mandatory contribution to ORP or Florida Retirement System.  If you are not required to contribute input 0.  Valid values are 0 or 3." sqref="B17">
      <formula1>0</formula1>
      <formula2>3</formula2>
    </dataValidation>
  </dataValidations>
  <hyperlinks>
    <hyperlink ref="A46" r:id="rId1"/>
  </hyperlinks>
  <pageMargins left="0.7" right="0.7" top="0.5" bottom="0.5" header="0.3" footer="0.3"/>
  <pageSetup scale="1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13" sqref="C13"/>
    </sheetView>
  </sheetViews>
  <sheetFormatPr defaultRowHeight="12.75" x14ac:dyDescent="0.2"/>
  <cols>
    <col min="1" max="1" width="22.7109375" style="20" customWidth="1"/>
    <col min="2" max="2" width="12.42578125" style="20" customWidth="1"/>
    <col min="3" max="3" width="12.28515625" style="20" customWidth="1"/>
    <col min="4" max="4" width="10.7109375" style="20" customWidth="1"/>
    <col min="5" max="5" width="13.5703125" style="20" customWidth="1"/>
    <col min="6" max="6" width="10.7109375" style="21" customWidth="1"/>
    <col min="7" max="7" width="13.85546875" style="20" customWidth="1"/>
    <col min="8" max="8" width="10.7109375" style="20" customWidth="1"/>
    <col min="9" max="9" width="16.28515625" style="20" customWidth="1"/>
    <col min="10" max="10" width="10.7109375" style="20" customWidth="1"/>
    <col min="11" max="11" width="15.7109375" style="20" customWidth="1"/>
    <col min="12" max="13" width="10.7109375" style="20" customWidth="1"/>
    <col min="14" max="16384" width="9.140625" style="20"/>
  </cols>
  <sheetData>
    <row r="1" spans="1:13" ht="22.5" x14ac:dyDescent="0.3">
      <c r="A1" s="19" t="s">
        <v>119</v>
      </c>
    </row>
    <row r="2" spans="1:13" ht="22.5" x14ac:dyDescent="0.3">
      <c r="A2" s="19"/>
    </row>
    <row r="3" spans="1:13" ht="13.5" thickBot="1" x14ac:dyDescent="0.25"/>
    <row r="4" spans="1:13" ht="14.25" x14ac:dyDescent="0.3">
      <c r="A4" s="112" t="s">
        <v>27</v>
      </c>
      <c r="B4" s="23"/>
      <c r="C4" s="24" t="s">
        <v>28</v>
      </c>
      <c r="D4" s="24"/>
      <c r="E4" s="125" t="s">
        <v>29</v>
      </c>
      <c r="F4" s="126"/>
      <c r="H4" s="25" t="s">
        <v>30</v>
      </c>
      <c r="I4" s="26"/>
      <c r="J4" s="26"/>
      <c r="K4" s="26"/>
      <c r="L4" s="26"/>
      <c r="M4" s="27"/>
    </row>
    <row r="5" spans="1:13" x14ac:dyDescent="0.2">
      <c r="A5" s="113">
        <f>ROUND(B54,2)</f>
        <v>88.46</v>
      </c>
      <c r="B5" s="29">
        <f>ROUND(C54,2)</f>
        <v>447.12</v>
      </c>
      <c r="C5" s="29">
        <f>D54</f>
        <v>0</v>
      </c>
      <c r="D5" s="30"/>
      <c r="E5" s="31">
        <v>0.1</v>
      </c>
      <c r="F5" s="32">
        <f t="shared" ref="F5:F10" si="0">A5</f>
        <v>88.46</v>
      </c>
      <c r="H5" s="33"/>
      <c r="I5" s="34" t="s">
        <v>31</v>
      </c>
      <c r="J5" s="35" t="s">
        <v>32</v>
      </c>
      <c r="K5" s="36"/>
      <c r="L5" s="35" t="s">
        <v>33</v>
      </c>
      <c r="M5" s="37" t="s">
        <v>32</v>
      </c>
    </row>
    <row r="6" spans="1:13" x14ac:dyDescent="0.2">
      <c r="A6" s="113">
        <f t="shared" ref="A6:B10" si="1">ROUND(B55,2)</f>
        <v>447.12</v>
      </c>
      <c r="B6" s="39">
        <f t="shared" si="1"/>
        <v>1548.08</v>
      </c>
      <c r="C6" s="39">
        <f t="shared" ref="C6:C10" si="2">D55</f>
        <v>35.865384615384613</v>
      </c>
      <c r="D6" s="40" t="s">
        <v>34</v>
      </c>
      <c r="E6" s="41">
        <v>0.15</v>
      </c>
      <c r="F6" s="42">
        <f t="shared" si="0"/>
        <v>447.12</v>
      </c>
      <c r="H6" s="43">
        <v>1</v>
      </c>
      <c r="I6" s="20" t="s">
        <v>76</v>
      </c>
      <c r="J6" s="98">
        <f>'Estimated Net Pay Calculation'!$B$33*-1</f>
        <v>150</v>
      </c>
      <c r="K6" s="36"/>
      <c r="L6" s="20" t="s">
        <v>78</v>
      </c>
      <c r="M6" s="96">
        <f>'Estimated Net Pay Calculation'!$B$29*-1</f>
        <v>90</v>
      </c>
    </row>
    <row r="7" spans="1:13" x14ac:dyDescent="0.2">
      <c r="A7" s="113">
        <f t="shared" si="1"/>
        <v>1548.08</v>
      </c>
      <c r="B7" s="29">
        <f t="shared" si="1"/>
        <v>3623.08</v>
      </c>
      <c r="C7" s="29">
        <f t="shared" si="2"/>
        <v>201.00961538461539</v>
      </c>
      <c r="D7" s="44" t="s">
        <v>34</v>
      </c>
      <c r="E7" s="31">
        <v>0.25</v>
      </c>
      <c r="F7" s="32">
        <f t="shared" si="0"/>
        <v>1548.08</v>
      </c>
      <c r="H7" s="43">
        <v>2</v>
      </c>
      <c r="I7" s="45" t="s">
        <v>80</v>
      </c>
      <c r="J7" s="95">
        <f>'Estimated Net Pay Calculation'!$B$31*-1</f>
        <v>115.38461538461539</v>
      </c>
      <c r="K7" s="36"/>
      <c r="L7" s="20" t="s">
        <v>77</v>
      </c>
      <c r="M7" s="96">
        <f>'Estimated Net Pay Calculation'!$B$30*-1</f>
        <v>50</v>
      </c>
    </row>
    <row r="8" spans="1:13" x14ac:dyDescent="0.2">
      <c r="A8" s="113">
        <f>ROUND(B57,2)</f>
        <v>3623.08</v>
      </c>
      <c r="B8" s="29">
        <f t="shared" ref="B8:B10" si="3">ROUND(C57,2)</f>
        <v>7459.62</v>
      </c>
      <c r="C8" s="39">
        <f t="shared" si="2"/>
        <v>719.75961538461536</v>
      </c>
      <c r="D8" s="40" t="s">
        <v>34</v>
      </c>
      <c r="E8" s="41">
        <v>0.28000000000000003</v>
      </c>
      <c r="F8" s="42">
        <f t="shared" si="0"/>
        <v>3623.08</v>
      </c>
      <c r="H8" s="43">
        <v>3</v>
      </c>
      <c r="I8" s="20" t="s">
        <v>97</v>
      </c>
      <c r="J8" s="95">
        <f>'Estimated Net Pay Calculation'!$B$32*-1</f>
        <v>115.38461538461539</v>
      </c>
      <c r="K8" s="36"/>
      <c r="L8" s="45"/>
      <c r="M8" s="46"/>
    </row>
    <row r="9" spans="1:13" x14ac:dyDescent="0.2">
      <c r="A9" s="113">
        <f t="shared" si="1"/>
        <v>7459.62</v>
      </c>
      <c r="B9" s="29">
        <f t="shared" si="3"/>
        <v>16115.38</v>
      </c>
      <c r="C9" s="29">
        <f t="shared" si="2"/>
        <v>1793.9903846153845</v>
      </c>
      <c r="D9" s="47" t="s">
        <v>34</v>
      </c>
      <c r="E9" s="48">
        <v>0.33</v>
      </c>
      <c r="F9" s="49">
        <f t="shared" si="0"/>
        <v>7459.62</v>
      </c>
      <c r="H9" s="43">
        <v>4</v>
      </c>
      <c r="J9" s="45"/>
      <c r="K9" s="36"/>
      <c r="L9" s="45"/>
      <c r="M9" s="46"/>
    </row>
    <row r="10" spans="1:13" ht="13.5" thickBot="1" x14ac:dyDescent="0.25">
      <c r="A10" s="114">
        <f t="shared" si="1"/>
        <v>16115.38</v>
      </c>
      <c r="B10" s="115">
        <f t="shared" si="3"/>
        <v>16180.77</v>
      </c>
      <c r="C10" s="51">
        <f t="shared" si="2"/>
        <v>4650.3942307692305</v>
      </c>
      <c r="D10" s="52" t="s">
        <v>34</v>
      </c>
      <c r="E10" s="53">
        <v>0.35</v>
      </c>
      <c r="F10" s="54">
        <f t="shared" si="0"/>
        <v>16115.38</v>
      </c>
      <c r="H10" s="43">
        <v>5</v>
      </c>
      <c r="J10" s="45"/>
      <c r="K10" s="36"/>
      <c r="L10" s="45"/>
      <c r="M10" s="46"/>
    </row>
    <row r="11" spans="1:13" x14ac:dyDescent="0.2">
      <c r="H11" s="43">
        <v>6</v>
      </c>
      <c r="J11" s="45"/>
      <c r="K11" s="36"/>
      <c r="L11" s="45"/>
      <c r="M11" s="46"/>
    </row>
    <row r="12" spans="1:13" ht="13.5" thickBot="1" x14ac:dyDescent="0.25">
      <c r="C12" s="20">
        <v>26.1</v>
      </c>
      <c r="D12" s="20" t="s">
        <v>39</v>
      </c>
      <c r="H12" s="43">
        <v>7</v>
      </c>
      <c r="J12" s="55"/>
      <c r="K12" s="36"/>
      <c r="L12" s="45"/>
      <c r="M12" s="46"/>
    </row>
    <row r="13" spans="1:13" ht="13.5" thickBot="1" x14ac:dyDescent="0.25">
      <c r="A13" s="56" t="s">
        <v>40</v>
      </c>
      <c r="B13" s="57">
        <v>31000</v>
      </c>
      <c r="C13" s="21">
        <f>IF('Estimated Net Pay Calculation'!$B$22="S",'Estimated Net Pay Calculation'!$B$27,0)</f>
        <v>0</v>
      </c>
      <c r="D13" s="20" t="s">
        <v>41</v>
      </c>
      <c r="H13" s="58" t="s">
        <v>42</v>
      </c>
      <c r="I13" s="59"/>
      <c r="J13" s="59">
        <f>SUM(J6:J12)</f>
        <v>380.76923076923072</v>
      </c>
      <c r="K13" s="59"/>
      <c r="L13" s="59"/>
      <c r="M13" s="60">
        <f>SUM(M6:M12)</f>
        <v>140</v>
      </c>
    </row>
    <row r="14" spans="1:13" ht="3" customHeight="1" thickBot="1" x14ac:dyDescent="0.25">
      <c r="A14" s="56"/>
      <c r="B14" s="61"/>
    </row>
    <row r="15" spans="1:13" ht="13.5" thickBot="1" x14ac:dyDescent="0.25">
      <c r="A15" s="56" t="s">
        <v>43</v>
      </c>
      <c r="B15" s="97">
        <f>'Estimated Net Pay Calculation'!$B$23</f>
        <v>1</v>
      </c>
      <c r="C15" s="21">
        <f>-(B44*B15)</f>
        <v>-155.76923076923077</v>
      </c>
      <c r="D15" s="20" t="s">
        <v>44</v>
      </c>
    </row>
    <row r="16" spans="1:13" ht="13.5" thickBot="1" x14ac:dyDescent="0.25">
      <c r="A16" s="20" t="s">
        <v>45</v>
      </c>
      <c r="B16" s="62">
        <f>J13+M13</f>
        <v>520.76923076923072</v>
      </c>
      <c r="C16" s="63">
        <f>-B16</f>
        <v>-520.76923076923072</v>
      </c>
    </row>
    <row r="17" spans="1:13" ht="13.5" thickBot="1" x14ac:dyDescent="0.25">
      <c r="A17" s="20" t="s">
        <v>46</v>
      </c>
      <c r="B17" s="99">
        <f>'Estimated Net Pay Calculation'!$B$34*-1</f>
        <v>70</v>
      </c>
      <c r="C17" s="64">
        <f>SUM(C13:C16)</f>
        <v>-676.53846153846143</v>
      </c>
      <c r="D17" s="65" t="s">
        <v>47</v>
      </c>
    </row>
    <row r="18" spans="1:13" x14ac:dyDescent="0.2">
      <c r="A18" s="66" t="s">
        <v>48</v>
      </c>
      <c r="B18" s="67" t="s">
        <v>49</v>
      </c>
    </row>
    <row r="19" spans="1:13" x14ac:dyDescent="0.2">
      <c r="C19" s="68" t="s">
        <v>50</v>
      </c>
      <c r="E19" s="68" t="s">
        <v>50</v>
      </c>
      <c r="G19" s="68" t="s">
        <v>50</v>
      </c>
      <c r="I19" s="68" t="s">
        <v>50</v>
      </c>
      <c r="K19" s="68" t="s">
        <v>50</v>
      </c>
      <c r="L19" s="36"/>
      <c r="M19" s="36" t="s">
        <v>51</v>
      </c>
    </row>
    <row r="20" spans="1:13" x14ac:dyDescent="0.2">
      <c r="C20" s="116" t="s">
        <v>105</v>
      </c>
      <c r="D20" s="117"/>
      <c r="E20" s="116" t="s">
        <v>106</v>
      </c>
      <c r="F20" s="118"/>
      <c r="G20" s="116" t="s">
        <v>109</v>
      </c>
      <c r="H20" s="45"/>
      <c r="I20" s="116" t="s">
        <v>107</v>
      </c>
      <c r="J20" s="45"/>
      <c r="K20" s="116" t="s">
        <v>108</v>
      </c>
      <c r="L20" s="70"/>
      <c r="M20" s="70">
        <v>14042</v>
      </c>
    </row>
    <row r="21" spans="1:13" ht="13.5" thickBot="1" x14ac:dyDescent="0.25">
      <c r="C21" s="71"/>
      <c r="D21" s="71"/>
      <c r="E21" s="71"/>
      <c r="F21" s="72"/>
    </row>
    <row r="22" spans="1:13" ht="15.75" thickBot="1" x14ac:dyDescent="0.4">
      <c r="B22" s="56" t="s">
        <v>52</v>
      </c>
      <c r="C22" s="73">
        <f>IF(AND($C$17&gt;A5,$C$17&lt;B5),$C$17,0)</f>
        <v>0</v>
      </c>
      <c r="D22" s="74"/>
      <c r="E22" s="73">
        <f>IF(AND($C$17&gt;A6,$C$17&lt;B6),$C$17,0)</f>
        <v>0</v>
      </c>
      <c r="F22" s="75"/>
      <c r="G22" s="73">
        <f>IF(AND($C$17&gt;A7,$C$17&lt;B7),$C$17,0)</f>
        <v>0</v>
      </c>
      <c r="H22" s="21"/>
      <c r="I22" s="73">
        <f>IF(AND($C$17&gt;A8,$C$17&lt;B8),$C$17,0)</f>
        <v>0</v>
      </c>
      <c r="J22" s="21"/>
      <c r="K22" s="73">
        <f>IF(AND($C$17&gt;A9,$C$17&lt;B9),$C$17,0)</f>
        <v>0</v>
      </c>
      <c r="L22" s="76"/>
      <c r="M22" s="73">
        <f>IF(($C$17&gt;A10),$C$17,0)</f>
        <v>0</v>
      </c>
    </row>
    <row r="23" spans="1:13" ht="24" customHeight="1" x14ac:dyDescent="0.2">
      <c r="B23" s="56" t="s">
        <v>53</v>
      </c>
      <c r="C23" s="77">
        <f>A5</f>
        <v>88.46</v>
      </c>
      <c r="D23" s="78"/>
      <c r="E23" s="77">
        <f>B5</f>
        <v>447.12</v>
      </c>
      <c r="F23" s="78"/>
      <c r="G23" s="79">
        <f>A7</f>
        <v>1548.08</v>
      </c>
      <c r="H23" s="21"/>
      <c r="I23" s="79">
        <f>A8</f>
        <v>3623.08</v>
      </c>
      <c r="J23" s="21"/>
      <c r="K23" s="79">
        <f>A9</f>
        <v>7459.62</v>
      </c>
      <c r="L23" s="80"/>
      <c r="M23" s="79">
        <f>A10</f>
        <v>16115.38</v>
      </c>
    </row>
    <row r="24" spans="1:13" ht="19.5" customHeight="1" x14ac:dyDescent="0.2">
      <c r="B24" s="56" t="s">
        <v>54</v>
      </c>
      <c r="C24" s="81">
        <f>C22-C23</f>
        <v>-88.46</v>
      </c>
      <c r="D24" s="81"/>
      <c r="E24" s="81">
        <f>E22-E23</f>
        <v>-447.12</v>
      </c>
      <c r="F24" s="78"/>
      <c r="G24" s="81">
        <f>G22-G23</f>
        <v>-1548.08</v>
      </c>
      <c r="I24" s="81">
        <f>I22-I23</f>
        <v>-3623.08</v>
      </c>
      <c r="K24" s="81">
        <f>K22-K23</f>
        <v>-7459.62</v>
      </c>
      <c r="L24" s="81"/>
      <c r="M24" s="81">
        <f>M22-M23</f>
        <v>-16115.38</v>
      </c>
    </row>
    <row r="25" spans="1:13" x14ac:dyDescent="0.2">
      <c r="B25" s="56" t="s">
        <v>55</v>
      </c>
      <c r="C25" s="82">
        <f>C24*E5</f>
        <v>-8.8460000000000001</v>
      </c>
      <c r="D25" s="81"/>
      <c r="E25" s="82">
        <f>E24*E6</f>
        <v>-67.067999999999998</v>
      </c>
      <c r="F25" s="78"/>
      <c r="G25" s="82">
        <f>G24*E7</f>
        <v>-387.02</v>
      </c>
      <c r="I25" s="82">
        <f>I24*E8</f>
        <v>-1014.4624000000001</v>
      </c>
      <c r="K25" s="82">
        <f>K24*E9</f>
        <v>-2461.6746000000003</v>
      </c>
      <c r="L25" s="78"/>
      <c r="M25" s="82">
        <f>M24*E10</f>
        <v>-5640.3829999999998</v>
      </c>
    </row>
    <row r="26" spans="1:13" x14ac:dyDescent="0.2">
      <c r="C26" s="21"/>
      <c r="D26" s="21"/>
      <c r="F26" s="80"/>
    </row>
    <row r="27" spans="1:13" x14ac:dyDescent="0.2">
      <c r="B27" s="56" t="s">
        <v>56</v>
      </c>
      <c r="C27" s="21">
        <v>0</v>
      </c>
      <c r="D27" s="21"/>
      <c r="E27" s="83">
        <f>C6</f>
        <v>35.865384615384613</v>
      </c>
      <c r="F27" s="80"/>
      <c r="G27" s="83">
        <f>C7</f>
        <v>201.00961538461539</v>
      </c>
      <c r="H27" s="21"/>
      <c r="I27" s="83">
        <f>C8</f>
        <v>719.75961538461536</v>
      </c>
      <c r="J27" s="21"/>
      <c r="K27" s="83">
        <f>C9</f>
        <v>1793.9903846153845</v>
      </c>
      <c r="L27" s="21"/>
      <c r="M27" s="83">
        <f>C10</f>
        <v>4650.3942307692305</v>
      </c>
    </row>
    <row r="28" spans="1:13" ht="13.5" thickBot="1" x14ac:dyDescent="0.25">
      <c r="B28" s="56" t="str">
        <f>B25</f>
        <v>W/H on excess</v>
      </c>
      <c r="C28" s="80">
        <f>C25</f>
        <v>-8.8460000000000001</v>
      </c>
      <c r="D28" s="21"/>
      <c r="E28" s="21">
        <f>E25</f>
        <v>-67.067999999999998</v>
      </c>
      <c r="F28" s="80"/>
      <c r="G28" s="21">
        <f>G25</f>
        <v>-387.02</v>
      </c>
      <c r="I28" s="21">
        <f>I25</f>
        <v>-1014.4624000000001</v>
      </c>
      <c r="K28" s="21">
        <f>K25</f>
        <v>-2461.6746000000003</v>
      </c>
      <c r="L28" s="80"/>
      <c r="M28" s="21">
        <f>M25</f>
        <v>-5640.3829999999998</v>
      </c>
    </row>
    <row r="29" spans="1:13" ht="13.5" thickBot="1" x14ac:dyDescent="0.25">
      <c r="B29" s="56" t="s">
        <v>57</v>
      </c>
      <c r="C29" s="84">
        <f>SUM(C27:C28)</f>
        <v>-8.8460000000000001</v>
      </c>
      <c r="D29" s="85"/>
      <c r="E29" s="86">
        <f>SUM(E27:E28)</f>
        <v>-31.202615384615385</v>
      </c>
      <c r="F29" s="85"/>
      <c r="G29" s="86">
        <f>SUM(G27:G28)</f>
        <v>-186.0103846153846</v>
      </c>
      <c r="I29" s="86">
        <f>SUM(I27:I28)</f>
        <v>-294.70278461538476</v>
      </c>
      <c r="K29" s="86">
        <f>SUM(K27:K28)</f>
        <v>-667.68421538461575</v>
      </c>
      <c r="L29" s="87"/>
      <c r="M29" s="86">
        <f>SUM(M27:M28)</f>
        <v>-989.98876923076932</v>
      </c>
    </row>
    <row r="30" spans="1:13" x14ac:dyDescent="0.2">
      <c r="B30" s="56"/>
      <c r="F30" s="80"/>
    </row>
    <row r="31" spans="1:13" x14ac:dyDescent="0.2">
      <c r="B31" s="56" t="s">
        <v>58</v>
      </c>
      <c r="C31" s="63">
        <f>IF(C22=0, ,$C$13)</f>
        <v>0</v>
      </c>
      <c r="D31" s="63"/>
      <c r="E31" s="63">
        <f>IF(E22=0, ,$C$13)</f>
        <v>0</v>
      </c>
      <c r="F31" s="80"/>
      <c r="G31" s="63">
        <f>IF(G22=0, ,$C$13)</f>
        <v>0</v>
      </c>
      <c r="I31" s="63">
        <f>IF(I22=0, ,$C$13)</f>
        <v>0</v>
      </c>
      <c r="K31" s="63">
        <f>IF(K22=0, ,$C$13)</f>
        <v>0</v>
      </c>
      <c r="L31" s="63"/>
      <c r="M31" s="63">
        <f>IF(M22=0, ,$C$13)</f>
        <v>0</v>
      </c>
    </row>
    <row r="32" spans="1:13" x14ac:dyDescent="0.2">
      <c r="B32" s="56" t="s">
        <v>59</v>
      </c>
      <c r="C32" s="63">
        <f>IF(C22=0,0,-C29)</f>
        <v>0</v>
      </c>
      <c r="D32" s="63"/>
      <c r="E32" s="63">
        <f>IF(E22=0,0,-E29)</f>
        <v>0</v>
      </c>
      <c r="F32" s="88"/>
      <c r="G32" s="63">
        <f>IF(G22=0,0,-G29)</f>
        <v>0</v>
      </c>
      <c r="I32" s="63">
        <f>IF(I22=0,0,-I29)</f>
        <v>0</v>
      </c>
      <c r="K32" s="63">
        <f>IF(K22=0,0,-K29)</f>
        <v>0</v>
      </c>
      <c r="L32" s="63"/>
      <c r="M32" s="63">
        <f>IF(M22=0,0,-M29)</f>
        <v>0</v>
      </c>
    </row>
    <row r="33" spans="1:13" x14ac:dyDescent="0.2">
      <c r="B33" s="56" t="s">
        <v>60</v>
      </c>
      <c r="C33" s="63">
        <f>IF(OR($B$18="N",C22=0),0,($C$13-$M$13)*0.0765*-1)</f>
        <v>0</v>
      </c>
      <c r="D33" s="63"/>
      <c r="E33" s="63">
        <f>IF(OR($B$18="N",E22=0),0,($C$13-$M$13)*0.0765*-1)</f>
        <v>0</v>
      </c>
      <c r="F33" s="88"/>
      <c r="G33" s="63">
        <f>IF(OR($B$18="N",G22=0),0,($C$13-$M$13)*0.0765*-1)</f>
        <v>0</v>
      </c>
      <c r="I33" s="63">
        <f>IF(OR($B$18="N",I22=0),0,($C$13-$M$13)*0.0765*-1)</f>
        <v>0</v>
      </c>
      <c r="K33" s="63">
        <f>IF(OR($B$18="N",K22=0),0,($C$13-$M$13)*0.0765*-1)</f>
        <v>0</v>
      </c>
      <c r="L33" s="63"/>
      <c r="M33" s="63">
        <f>IF(OR($B$18="N",M22=0),0,($C$13-$M$13)*0.0765*-1)</f>
        <v>0</v>
      </c>
    </row>
    <row r="34" spans="1:13" ht="13.5" thickBot="1" x14ac:dyDescent="0.25">
      <c r="B34" s="56" t="s">
        <v>15</v>
      </c>
      <c r="C34" s="63">
        <f>IF(C31&gt;0,-$B$16-$B$17,0)</f>
        <v>0</v>
      </c>
      <c r="D34" s="63"/>
      <c r="E34" s="63">
        <f>IF(E31&gt;0,-$B$16-$B$17,0)</f>
        <v>0</v>
      </c>
      <c r="F34" s="88"/>
      <c r="G34" s="63">
        <f>IF(G31&gt;0,-$B$16-$B$17,0)</f>
        <v>0</v>
      </c>
      <c r="I34" s="63">
        <f>IF(I31&gt;0,-$B$16-$B$17,0)</f>
        <v>0</v>
      </c>
      <c r="K34" s="63">
        <f>IF(K31&gt;0,-$B$16-$B$17,0)</f>
        <v>0</v>
      </c>
      <c r="L34" s="63"/>
      <c r="M34" s="63">
        <f>IF(M31&gt;0,-$B$16-$B$17,0)</f>
        <v>0</v>
      </c>
    </row>
    <row r="35" spans="1:13" ht="13.5" thickBot="1" x14ac:dyDescent="0.25">
      <c r="B35" s="56" t="s">
        <v>13</v>
      </c>
      <c r="C35" s="86">
        <f>SUM(C31:C34)</f>
        <v>0</v>
      </c>
      <c r="D35" s="89"/>
      <c r="E35" s="86">
        <f>SUM(E31:E34)</f>
        <v>0</v>
      </c>
      <c r="F35" s="89"/>
      <c r="G35" s="86">
        <f>SUM(G31:G34)</f>
        <v>0</v>
      </c>
      <c r="I35" s="86">
        <f>SUM(I31:I34)</f>
        <v>0</v>
      </c>
      <c r="K35" s="90">
        <f>SUM(K31:K34)</f>
        <v>0</v>
      </c>
      <c r="L35" s="87"/>
      <c r="M35" s="86">
        <f>SUM(M31:M34)</f>
        <v>0</v>
      </c>
    </row>
    <row r="36" spans="1:13" x14ac:dyDescent="0.2">
      <c r="A36" s="56"/>
      <c r="F36" s="80"/>
    </row>
    <row r="37" spans="1:13" x14ac:dyDescent="0.2">
      <c r="F37" s="80"/>
    </row>
    <row r="38" spans="1:13" x14ac:dyDescent="0.2">
      <c r="F38" s="80"/>
    </row>
    <row r="39" spans="1:13" x14ac:dyDescent="0.2">
      <c r="F39" s="80"/>
    </row>
    <row r="40" spans="1:13" x14ac:dyDescent="0.2">
      <c r="A40" s="20" t="s">
        <v>61</v>
      </c>
      <c r="B40" s="91">
        <v>90</v>
      </c>
      <c r="C40" s="63"/>
      <c r="D40" s="63"/>
      <c r="F40" s="88"/>
    </row>
    <row r="41" spans="1:13" x14ac:dyDescent="0.2">
      <c r="A41" s="20" t="s">
        <v>62</v>
      </c>
      <c r="B41" s="91">
        <v>25</v>
      </c>
      <c r="C41" s="63"/>
      <c r="D41" s="63"/>
      <c r="F41" s="88"/>
    </row>
    <row r="42" spans="1:13" x14ac:dyDescent="0.2">
      <c r="B42" s="91"/>
      <c r="C42" s="63"/>
      <c r="D42" s="63"/>
      <c r="F42" s="88"/>
    </row>
    <row r="43" spans="1:13" x14ac:dyDescent="0.2">
      <c r="A43" s="20" t="s">
        <v>63</v>
      </c>
      <c r="B43" s="91">
        <v>4050</v>
      </c>
      <c r="F43" s="80"/>
    </row>
    <row r="44" spans="1:13" x14ac:dyDescent="0.2">
      <c r="A44" s="20" t="s">
        <v>64</v>
      </c>
      <c r="B44" s="92">
        <f>B43/26</f>
        <v>155.76923076923077</v>
      </c>
      <c r="F44" s="80"/>
    </row>
    <row r="45" spans="1:13" x14ac:dyDescent="0.2">
      <c r="B45" s="92"/>
      <c r="F45" s="80"/>
    </row>
    <row r="46" spans="1:13" x14ac:dyDescent="0.2">
      <c r="A46" s="20" t="s">
        <v>65</v>
      </c>
      <c r="B46" s="91">
        <v>2300</v>
      </c>
      <c r="C46" s="91">
        <f>B47</f>
        <v>11625</v>
      </c>
      <c r="D46" s="91">
        <v>0</v>
      </c>
      <c r="E46" s="20" t="s">
        <v>34</v>
      </c>
      <c r="F46" s="93">
        <v>0.1</v>
      </c>
      <c r="G46" s="91">
        <f t="shared" ref="G46:G51" si="4">B46</f>
        <v>2300</v>
      </c>
    </row>
    <row r="47" spans="1:13" x14ac:dyDescent="0.2">
      <c r="B47" s="91">
        <v>11625</v>
      </c>
      <c r="C47" s="91">
        <f t="shared" ref="C47:C50" si="5">B48</f>
        <v>40250</v>
      </c>
      <c r="D47" s="91">
        <v>932.5</v>
      </c>
      <c r="E47" s="20" t="s">
        <v>34</v>
      </c>
      <c r="F47" s="94">
        <v>0.15</v>
      </c>
      <c r="G47" s="91">
        <f t="shared" si="4"/>
        <v>11625</v>
      </c>
    </row>
    <row r="48" spans="1:13" x14ac:dyDescent="0.2">
      <c r="B48" s="91">
        <v>40250</v>
      </c>
      <c r="C48" s="91">
        <f t="shared" si="5"/>
        <v>94200</v>
      </c>
      <c r="D48" s="91">
        <v>5226.25</v>
      </c>
      <c r="E48" s="20" t="s">
        <v>34</v>
      </c>
      <c r="F48" s="94">
        <v>0.25</v>
      </c>
      <c r="G48" s="91">
        <f t="shared" si="4"/>
        <v>40250</v>
      </c>
    </row>
    <row r="49" spans="1:7" x14ac:dyDescent="0.2">
      <c r="B49" s="91">
        <v>94200</v>
      </c>
      <c r="C49" s="91">
        <f t="shared" si="5"/>
        <v>193950</v>
      </c>
      <c r="D49" s="91">
        <v>18713.75</v>
      </c>
      <c r="E49" s="20" t="s">
        <v>34</v>
      </c>
      <c r="F49" s="94">
        <v>0.28000000000000003</v>
      </c>
      <c r="G49" s="91">
        <f t="shared" si="4"/>
        <v>94200</v>
      </c>
    </row>
    <row r="50" spans="1:7" x14ac:dyDescent="0.2">
      <c r="B50" s="91">
        <v>193950</v>
      </c>
      <c r="C50" s="91">
        <f t="shared" si="5"/>
        <v>419000</v>
      </c>
      <c r="D50" s="91">
        <v>46643.75</v>
      </c>
      <c r="E50" s="20" t="s">
        <v>34</v>
      </c>
      <c r="F50" s="94">
        <v>0.33</v>
      </c>
      <c r="G50" s="91">
        <f t="shared" si="4"/>
        <v>193950</v>
      </c>
    </row>
    <row r="51" spans="1:7" x14ac:dyDescent="0.2">
      <c r="B51" s="91">
        <v>419000</v>
      </c>
      <c r="C51" s="91">
        <v>420700</v>
      </c>
      <c r="D51" s="91">
        <v>120910.25</v>
      </c>
      <c r="E51" s="20" t="s">
        <v>34</v>
      </c>
      <c r="F51" s="94">
        <v>0.35</v>
      </c>
      <c r="G51" s="91">
        <f t="shared" si="4"/>
        <v>419000</v>
      </c>
    </row>
    <row r="52" spans="1:7" x14ac:dyDescent="0.2">
      <c r="F52" s="94"/>
    </row>
    <row r="53" spans="1:7" x14ac:dyDescent="0.2">
      <c r="A53" s="20" t="s">
        <v>104</v>
      </c>
      <c r="F53" s="80"/>
    </row>
    <row r="54" spans="1:7" x14ac:dyDescent="0.2">
      <c r="B54" s="109">
        <f t="shared" ref="B54:D59" si="6">B46/26</f>
        <v>88.461538461538467</v>
      </c>
      <c r="C54" s="109">
        <f t="shared" si="6"/>
        <v>447.11538461538464</v>
      </c>
      <c r="D54" s="109">
        <f t="shared" si="6"/>
        <v>0</v>
      </c>
      <c r="E54" s="20" t="s">
        <v>34</v>
      </c>
      <c r="F54" s="93">
        <v>0.1</v>
      </c>
      <c r="G54" s="91">
        <f>G46/26</f>
        <v>88.461538461538467</v>
      </c>
    </row>
    <row r="55" spans="1:7" x14ac:dyDescent="0.2">
      <c r="B55" s="109">
        <f t="shared" si="6"/>
        <v>447.11538461538464</v>
      </c>
      <c r="C55" s="109">
        <f t="shared" si="6"/>
        <v>1548.0769230769231</v>
      </c>
      <c r="D55" s="109">
        <f t="shared" si="6"/>
        <v>35.865384615384613</v>
      </c>
      <c r="E55" s="20" t="s">
        <v>34</v>
      </c>
      <c r="F55" s="94">
        <v>0.15</v>
      </c>
      <c r="G55" s="91">
        <f t="shared" ref="G55:G59" si="7">G47/26</f>
        <v>447.11538461538464</v>
      </c>
    </row>
    <row r="56" spans="1:7" x14ac:dyDescent="0.2">
      <c r="B56" s="109">
        <f t="shared" si="6"/>
        <v>1548.0769230769231</v>
      </c>
      <c r="C56" s="109">
        <f t="shared" si="6"/>
        <v>3623.0769230769229</v>
      </c>
      <c r="D56" s="109">
        <f t="shared" si="6"/>
        <v>201.00961538461539</v>
      </c>
      <c r="E56" s="20" t="s">
        <v>34</v>
      </c>
      <c r="F56" s="94">
        <v>0.25</v>
      </c>
      <c r="G56" s="91">
        <f t="shared" si="7"/>
        <v>1548.0769230769231</v>
      </c>
    </row>
    <row r="57" spans="1:7" x14ac:dyDescent="0.2">
      <c r="B57" s="109">
        <f t="shared" si="6"/>
        <v>3623.0769230769229</v>
      </c>
      <c r="C57" s="109">
        <f t="shared" si="6"/>
        <v>7459.6153846153848</v>
      </c>
      <c r="D57" s="109">
        <f t="shared" si="6"/>
        <v>719.75961538461536</v>
      </c>
      <c r="E57" s="20" t="s">
        <v>34</v>
      </c>
      <c r="F57" s="94">
        <v>0.28000000000000003</v>
      </c>
      <c r="G57" s="91">
        <f t="shared" si="7"/>
        <v>3623.0769230769229</v>
      </c>
    </row>
    <row r="58" spans="1:7" x14ac:dyDescent="0.2">
      <c r="B58" s="109">
        <f t="shared" si="6"/>
        <v>7459.6153846153848</v>
      </c>
      <c r="C58" s="109">
        <f t="shared" si="6"/>
        <v>16115.384615384615</v>
      </c>
      <c r="D58" s="109">
        <f t="shared" si="6"/>
        <v>1793.9903846153845</v>
      </c>
      <c r="E58" s="20" t="s">
        <v>34</v>
      </c>
      <c r="F58" s="94">
        <v>0.33</v>
      </c>
      <c r="G58" s="91">
        <f t="shared" si="7"/>
        <v>7459.6153846153848</v>
      </c>
    </row>
    <row r="59" spans="1:7" x14ac:dyDescent="0.2">
      <c r="B59" s="109">
        <f t="shared" si="6"/>
        <v>16115.384615384615</v>
      </c>
      <c r="C59" s="109">
        <f t="shared" si="6"/>
        <v>16180.76923076923</v>
      </c>
      <c r="D59" s="109">
        <f t="shared" si="6"/>
        <v>4650.3942307692305</v>
      </c>
      <c r="E59" s="20" t="s">
        <v>34</v>
      </c>
      <c r="F59" s="94">
        <v>0.35</v>
      </c>
      <c r="G59" s="91">
        <f t="shared" si="7"/>
        <v>16115.384615384615</v>
      </c>
    </row>
    <row r="60" spans="1:7" x14ac:dyDescent="0.2">
      <c r="F60" s="80"/>
    </row>
    <row r="61" spans="1:7" x14ac:dyDescent="0.2">
      <c r="A61" s="20" t="s">
        <v>66</v>
      </c>
      <c r="B61" s="91">
        <f>B43/27</f>
        <v>150</v>
      </c>
      <c r="F61" s="80"/>
    </row>
    <row r="62" spans="1:7" x14ac:dyDescent="0.2">
      <c r="F62" s="80"/>
    </row>
    <row r="63" spans="1:7" x14ac:dyDescent="0.2">
      <c r="F63" s="80"/>
    </row>
    <row r="64" spans="1:7" x14ac:dyDescent="0.2">
      <c r="F64" s="80"/>
    </row>
    <row r="65" spans="6:6" x14ac:dyDescent="0.2">
      <c r="F65" s="80"/>
    </row>
    <row r="66" spans="6:6" x14ac:dyDescent="0.2">
      <c r="F66" s="80"/>
    </row>
    <row r="67" spans="6:6" x14ac:dyDescent="0.2">
      <c r="F67" s="80"/>
    </row>
  </sheetData>
  <mergeCells count="1">
    <mergeCell ref="E4:F4"/>
  </mergeCells>
  <pageMargins left="0.25" right="0.25" top="1" bottom="1" header="0.5" footer="0.5"/>
  <pageSetup paperSize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13" sqref="C13"/>
    </sheetView>
  </sheetViews>
  <sheetFormatPr defaultRowHeight="12.75" x14ac:dyDescent="0.2"/>
  <cols>
    <col min="1" max="1" width="22.7109375" style="20" customWidth="1"/>
    <col min="2" max="2" width="12.42578125" style="20" customWidth="1"/>
    <col min="3" max="3" width="12.28515625" style="20" customWidth="1"/>
    <col min="4" max="4" width="10.7109375" style="20" customWidth="1"/>
    <col min="5" max="5" width="12" style="20" bestFit="1" customWidth="1"/>
    <col min="6" max="6" width="10.7109375" style="21" customWidth="1"/>
    <col min="7" max="7" width="12" style="20" bestFit="1" customWidth="1"/>
    <col min="8" max="8" width="10.7109375" style="20" customWidth="1"/>
    <col min="9" max="9" width="12.7109375" style="20" bestFit="1" customWidth="1"/>
    <col min="10" max="10" width="10.7109375" style="20" customWidth="1"/>
    <col min="11" max="11" width="13" style="20" customWidth="1"/>
    <col min="12" max="13" width="10.7109375" style="20" customWidth="1"/>
    <col min="14" max="16384" width="9.140625" style="20"/>
  </cols>
  <sheetData>
    <row r="1" spans="1:13" ht="22.5" x14ac:dyDescent="0.3">
      <c r="A1" s="19" t="str">
        <f>'S T Current'!$A$1</f>
        <v>2017 Income Tax Withholding Payment Tables - SINGLE persons</v>
      </c>
    </row>
    <row r="2" spans="1:13" ht="22.5" x14ac:dyDescent="0.3">
      <c r="A2" s="19"/>
    </row>
    <row r="3" spans="1:13" ht="13.5" thickBot="1" x14ac:dyDescent="0.25"/>
    <row r="4" spans="1:13" ht="14.25" x14ac:dyDescent="0.3">
      <c r="A4" s="22" t="s">
        <v>27</v>
      </c>
      <c r="B4" s="23"/>
      <c r="C4" s="24" t="s">
        <v>28</v>
      </c>
      <c r="D4" s="24"/>
      <c r="E4" s="125" t="s">
        <v>29</v>
      </c>
      <c r="F4" s="126"/>
      <c r="H4" s="25" t="s">
        <v>30</v>
      </c>
      <c r="I4" s="26"/>
      <c r="J4" s="26"/>
      <c r="K4" s="26"/>
      <c r="L4" s="26"/>
      <c r="M4" s="27"/>
    </row>
    <row r="5" spans="1:13" x14ac:dyDescent="0.2">
      <c r="A5" s="28">
        <f>B54</f>
        <v>88.461538461538467</v>
      </c>
      <c r="B5" s="29">
        <f>C54</f>
        <v>447.11538461538464</v>
      </c>
      <c r="C5" s="29">
        <f>D54</f>
        <v>0</v>
      </c>
      <c r="D5" s="30"/>
      <c r="E5" s="31">
        <v>0.1</v>
      </c>
      <c r="F5" s="32">
        <f t="shared" ref="F5:F10" si="0">A5</f>
        <v>88.461538461538467</v>
      </c>
      <c r="H5" s="33"/>
      <c r="I5" s="34" t="s">
        <v>31</v>
      </c>
      <c r="J5" s="35" t="s">
        <v>32</v>
      </c>
      <c r="K5" s="36"/>
      <c r="L5" s="35" t="s">
        <v>33</v>
      </c>
      <c r="M5" s="37" t="s">
        <v>32</v>
      </c>
    </row>
    <row r="6" spans="1:13" x14ac:dyDescent="0.2">
      <c r="A6" s="38">
        <f t="shared" ref="A6:C10" si="1">B55</f>
        <v>447.11538461538464</v>
      </c>
      <c r="B6" s="39">
        <f t="shared" si="1"/>
        <v>1548.0769230769231</v>
      </c>
      <c r="C6" s="39">
        <f t="shared" si="1"/>
        <v>35.865384615384613</v>
      </c>
      <c r="D6" s="40" t="s">
        <v>34</v>
      </c>
      <c r="E6" s="41">
        <v>0.15</v>
      </c>
      <c r="F6" s="42">
        <f t="shared" si="0"/>
        <v>447.11538461538464</v>
      </c>
      <c r="H6" s="43">
        <v>1</v>
      </c>
      <c r="I6" s="20" t="s">
        <v>76</v>
      </c>
      <c r="J6" s="98">
        <f>'Estimated Net Pay Calculation'!$D$33*-1</f>
        <v>150</v>
      </c>
      <c r="K6" s="36"/>
      <c r="L6" s="20" t="s">
        <v>78</v>
      </c>
      <c r="M6" s="96">
        <f>'Estimated Net Pay Calculation'!$D$29*-1</f>
        <v>180</v>
      </c>
    </row>
    <row r="7" spans="1:13" x14ac:dyDescent="0.2">
      <c r="A7" s="28">
        <f t="shared" si="1"/>
        <v>1548.0769230769231</v>
      </c>
      <c r="B7" s="29">
        <f t="shared" si="1"/>
        <v>3623.0769230769229</v>
      </c>
      <c r="C7" s="29">
        <f t="shared" si="1"/>
        <v>201.00961538461539</v>
      </c>
      <c r="D7" s="44" t="s">
        <v>34</v>
      </c>
      <c r="E7" s="31">
        <v>0.25</v>
      </c>
      <c r="F7" s="32">
        <f t="shared" si="0"/>
        <v>1548.0769230769231</v>
      </c>
      <c r="H7" s="43">
        <v>2</v>
      </c>
      <c r="I7" s="45" t="s">
        <v>80</v>
      </c>
      <c r="J7" s="95">
        <f>'Estimated Net Pay Calculation'!$D$31*-1</f>
        <v>115.38461538461539</v>
      </c>
      <c r="K7" s="36"/>
      <c r="L7" s="20" t="s">
        <v>77</v>
      </c>
      <c r="M7" s="96">
        <f>'Estimated Net Pay Calculation'!$D$30*-1</f>
        <v>100</v>
      </c>
    </row>
    <row r="8" spans="1:13" x14ac:dyDescent="0.2">
      <c r="A8" s="38">
        <f t="shared" si="1"/>
        <v>3623.0769230769229</v>
      </c>
      <c r="B8" s="39">
        <f t="shared" si="1"/>
        <v>7459.6153846153848</v>
      </c>
      <c r="C8" s="39">
        <f t="shared" si="1"/>
        <v>719.75961538461536</v>
      </c>
      <c r="D8" s="40" t="s">
        <v>34</v>
      </c>
      <c r="E8" s="41">
        <v>0.28000000000000003</v>
      </c>
      <c r="F8" s="42">
        <f t="shared" si="0"/>
        <v>3623.0769230769229</v>
      </c>
      <c r="H8" s="43">
        <v>3</v>
      </c>
      <c r="I8" s="20" t="s">
        <v>97</v>
      </c>
      <c r="J8" s="95">
        <f>'Estimated Net Pay Calculation'!$B$32*-1</f>
        <v>115.38461538461539</v>
      </c>
      <c r="K8" s="36"/>
      <c r="L8" s="45"/>
      <c r="M8" s="46"/>
    </row>
    <row r="9" spans="1:13" x14ac:dyDescent="0.2">
      <c r="A9" s="28">
        <f t="shared" si="1"/>
        <v>7459.6153846153848</v>
      </c>
      <c r="B9" s="29">
        <f t="shared" si="1"/>
        <v>16115.384615384615</v>
      </c>
      <c r="C9" s="29">
        <f t="shared" si="1"/>
        <v>1793.9903846153845</v>
      </c>
      <c r="D9" s="47" t="s">
        <v>34</v>
      </c>
      <c r="E9" s="48">
        <v>0.33</v>
      </c>
      <c r="F9" s="49">
        <f t="shared" si="0"/>
        <v>7459.6153846153848</v>
      </c>
      <c r="H9" s="43">
        <v>4</v>
      </c>
      <c r="J9" s="45"/>
      <c r="K9" s="36"/>
      <c r="L9" s="45"/>
      <c r="M9" s="46"/>
    </row>
    <row r="10" spans="1:13" ht="13.5" thickBot="1" x14ac:dyDescent="0.25">
      <c r="A10" s="50">
        <f t="shared" si="1"/>
        <v>16115.384615384615</v>
      </c>
      <c r="B10" s="51">
        <f t="shared" si="1"/>
        <v>16180.76923076923</v>
      </c>
      <c r="C10" s="51">
        <f t="shared" si="1"/>
        <v>4650.3942307692305</v>
      </c>
      <c r="D10" s="52" t="s">
        <v>34</v>
      </c>
      <c r="E10" s="53">
        <v>0.35</v>
      </c>
      <c r="F10" s="54">
        <f t="shared" si="0"/>
        <v>16115.384615384615</v>
      </c>
      <c r="H10" s="43">
        <v>5</v>
      </c>
      <c r="J10" s="45"/>
      <c r="K10" s="36"/>
      <c r="L10" s="45"/>
      <c r="M10" s="46"/>
    </row>
    <row r="11" spans="1:13" x14ac:dyDescent="0.2">
      <c r="H11" s="43">
        <v>6</v>
      </c>
      <c r="J11" s="45"/>
      <c r="K11" s="36"/>
      <c r="L11" s="45"/>
      <c r="M11" s="46"/>
    </row>
    <row r="12" spans="1:13" ht="13.5" thickBot="1" x14ac:dyDescent="0.25">
      <c r="C12" s="20">
        <v>26.1</v>
      </c>
      <c r="D12" s="20" t="s">
        <v>39</v>
      </c>
      <c r="H12" s="43">
        <v>7</v>
      </c>
      <c r="J12" s="55"/>
      <c r="K12" s="36"/>
      <c r="L12" s="45"/>
      <c r="M12" s="46"/>
    </row>
    <row r="13" spans="1:13" ht="13.5" thickBot="1" x14ac:dyDescent="0.25">
      <c r="A13" s="56" t="s">
        <v>40</v>
      </c>
      <c r="B13" s="57">
        <v>31000</v>
      </c>
      <c r="C13" s="21">
        <f>IF('Estimated Net Pay Calculation'!$B$22="S",'Estimated Net Pay Calculation'!$D$27,0)</f>
        <v>0</v>
      </c>
      <c r="D13" s="20" t="s">
        <v>41</v>
      </c>
      <c r="H13" s="58" t="s">
        <v>42</v>
      </c>
      <c r="I13" s="59"/>
      <c r="J13" s="100">
        <f>SUM(J6:J12)</f>
        <v>380.76923076923072</v>
      </c>
      <c r="K13" s="59"/>
      <c r="L13" s="59"/>
      <c r="M13" s="101">
        <f>SUM(M6:M12)</f>
        <v>280</v>
      </c>
    </row>
    <row r="14" spans="1:13" ht="3" customHeight="1" thickBot="1" x14ac:dyDescent="0.25">
      <c r="A14" s="56"/>
      <c r="B14" s="61"/>
    </row>
    <row r="15" spans="1:13" ht="13.5" thickBot="1" x14ac:dyDescent="0.25">
      <c r="A15" s="56" t="s">
        <v>43</v>
      </c>
      <c r="B15" s="97">
        <f>'Estimated Net Pay Calculation'!$B$23</f>
        <v>1</v>
      </c>
      <c r="C15" s="21">
        <f>-(B44*B15)</f>
        <v>-155.76923076923077</v>
      </c>
      <c r="D15" s="20" t="s">
        <v>44</v>
      </c>
    </row>
    <row r="16" spans="1:13" ht="13.5" thickBot="1" x14ac:dyDescent="0.25">
      <c r="A16" s="20" t="s">
        <v>45</v>
      </c>
      <c r="B16" s="62">
        <f>J13+M13</f>
        <v>660.76923076923072</v>
      </c>
      <c r="C16" s="63">
        <f>-B16</f>
        <v>-660.76923076923072</v>
      </c>
    </row>
    <row r="17" spans="1:13" ht="13.5" thickBot="1" x14ac:dyDescent="0.25">
      <c r="A17" s="20" t="s">
        <v>46</v>
      </c>
      <c r="B17" s="99">
        <f>'Estimated Net Pay Calculation'!$D$34*-1</f>
        <v>70</v>
      </c>
      <c r="C17" s="64">
        <f>SUM(C13:C16)</f>
        <v>-816.53846153846143</v>
      </c>
      <c r="D17" s="65" t="s">
        <v>47</v>
      </c>
    </row>
    <row r="18" spans="1:13" x14ac:dyDescent="0.2">
      <c r="A18" s="66" t="s">
        <v>48</v>
      </c>
      <c r="B18" s="67" t="s">
        <v>49</v>
      </c>
    </row>
    <row r="19" spans="1:13" x14ac:dyDescent="0.2">
      <c r="C19" s="68" t="s">
        <v>50</v>
      </c>
      <c r="E19" s="68" t="s">
        <v>50</v>
      </c>
      <c r="G19" s="68" t="s">
        <v>50</v>
      </c>
      <c r="I19" s="68" t="s">
        <v>50</v>
      </c>
      <c r="K19" s="68" t="s">
        <v>50</v>
      </c>
      <c r="L19" s="36"/>
      <c r="M19" s="36" t="s">
        <v>51</v>
      </c>
    </row>
    <row r="20" spans="1:13" x14ac:dyDescent="0.2">
      <c r="C20" s="36" t="s">
        <v>105</v>
      </c>
      <c r="D20" s="36"/>
      <c r="E20" s="36" t="s">
        <v>106</v>
      </c>
      <c r="F20" s="69"/>
      <c r="G20" s="36" t="s">
        <v>109</v>
      </c>
      <c r="I20" s="36" t="s">
        <v>107</v>
      </c>
      <c r="K20" s="70" t="s">
        <v>108</v>
      </c>
      <c r="L20" s="70"/>
      <c r="M20" s="70">
        <v>14042</v>
      </c>
    </row>
    <row r="21" spans="1:13" ht="13.5" thickBot="1" x14ac:dyDescent="0.25">
      <c r="C21" s="71"/>
      <c r="D21" s="71"/>
      <c r="E21" s="71"/>
      <c r="F21" s="72"/>
    </row>
    <row r="22" spans="1:13" ht="15.75" thickBot="1" x14ac:dyDescent="0.4">
      <c r="B22" s="56" t="s">
        <v>52</v>
      </c>
      <c r="C22" s="73">
        <f>IF(AND($C$17&gt;A5,$C$17&lt;B5),$C$17,0)</f>
        <v>0</v>
      </c>
      <c r="D22" s="74"/>
      <c r="E22" s="73">
        <f>IF(AND($C$17&gt;A6,$C$17&lt;B6),$C$17,0)</f>
        <v>0</v>
      </c>
      <c r="F22" s="75"/>
      <c r="G22" s="73">
        <f>IF(AND($C$17&gt;A7,$C$17&lt;B7),$C$17,0)</f>
        <v>0</v>
      </c>
      <c r="H22" s="21"/>
      <c r="I22" s="73">
        <f>IF(AND($C$17&gt;A8,$C$17&lt;B8),$C$17,0)</f>
        <v>0</v>
      </c>
      <c r="J22" s="21"/>
      <c r="K22" s="73">
        <f>IF(AND($C$17&gt;A9,$C$17&lt;B9),$C$17,0)</f>
        <v>0</v>
      </c>
      <c r="L22" s="76"/>
      <c r="M22" s="73">
        <f>IF(($C$17&gt;A10),$C$17,0)</f>
        <v>0</v>
      </c>
    </row>
    <row r="23" spans="1:13" ht="24" customHeight="1" x14ac:dyDescent="0.2">
      <c r="B23" s="56" t="s">
        <v>53</v>
      </c>
      <c r="C23" s="77">
        <f>A5</f>
        <v>88.461538461538467</v>
      </c>
      <c r="D23" s="78"/>
      <c r="E23" s="77">
        <f>B5</f>
        <v>447.11538461538464</v>
      </c>
      <c r="F23" s="78"/>
      <c r="G23" s="79">
        <f>A7</f>
        <v>1548.0769230769231</v>
      </c>
      <c r="H23" s="21"/>
      <c r="I23" s="79">
        <f>A8</f>
        <v>3623.0769230769229</v>
      </c>
      <c r="J23" s="21"/>
      <c r="K23" s="79">
        <f>A9</f>
        <v>7459.6153846153848</v>
      </c>
      <c r="L23" s="80"/>
      <c r="M23" s="79">
        <f>A10</f>
        <v>16115.384615384615</v>
      </c>
    </row>
    <row r="24" spans="1:13" ht="19.5" customHeight="1" x14ac:dyDescent="0.2">
      <c r="B24" s="56" t="s">
        <v>54</v>
      </c>
      <c r="C24" s="81">
        <f>C22-C23</f>
        <v>-88.461538461538467</v>
      </c>
      <c r="D24" s="81"/>
      <c r="E24" s="81">
        <f>E22-E23</f>
        <v>-447.11538461538464</v>
      </c>
      <c r="F24" s="78"/>
      <c r="G24" s="81">
        <f>G22-G23</f>
        <v>-1548.0769230769231</v>
      </c>
      <c r="I24" s="81">
        <f>I22-I23</f>
        <v>-3623.0769230769229</v>
      </c>
      <c r="K24" s="81">
        <f>K22-K23</f>
        <v>-7459.6153846153848</v>
      </c>
      <c r="L24" s="81"/>
      <c r="M24" s="81">
        <f>M22-M23</f>
        <v>-16115.384615384615</v>
      </c>
    </row>
    <row r="25" spans="1:13" x14ac:dyDescent="0.2">
      <c r="B25" s="56" t="s">
        <v>55</v>
      </c>
      <c r="C25" s="82">
        <f>C24*E5</f>
        <v>-8.8461538461538467</v>
      </c>
      <c r="D25" s="81"/>
      <c r="E25" s="82">
        <f>E24*E6</f>
        <v>-67.067307692307693</v>
      </c>
      <c r="F25" s="78"/>
      <c r="G25" s="82">
        <f>G24*E7</f>
        <v>-387.01923076923077</v>
      </c>
      <c r="I25" s="82">
        <f>I24*E8</f>
        <v>-1014.4615384615385</v>
      </c>
      <c r="K25" s="82">
        <f>K24*E9</f>
        <v>-2461.6730769230771</v>
      </c>
      <c r="L25" s="78"/>
      <c r="M25" s="82">
        <f>M24*E10</f>
        <v>-5640.3846153846152</v>
      </c>
    </row>
    <row r="26" spans="1:13" x14ac:dyDescent="0.2">
      <c r="C26" s="21"/>
      <c r="D26" s="21"/>
      <c r="F26" s="80"/>
    </row>
    <row r="27" spans="1:13" x14ac:dyDescent="0.2">
      <c r="B27" s="56" t="s">
        <v>56</v>
      </c>
      <c r="C27" s="21">
        <v>0</v>
      </c>
      <c r="D27" s="21"/>
      <c r="E27" s="83">
        <f>C6</f>
        <v>35.865384615384613</v>
      </c>
      <c r="F27" s="80"/>
      <c r="G27" s="83">
        <f>C7</f>
        <v>201.00961538461539</v>
      </c>
      <c r="H27" s="21"/>
      <c r="I27" s="83">
        <f>C8</f>
        <v>719.75961538461536</v>
      </c>
      <c r="J27" s="21"/>
      <c r="K27" s="83">
        <f>C9</f>
        <v>1793.9903846153845</v>
      </c>
      <c r="L27" s="21"/>
      <c r="M27" s="83">
        <f>C10</f>
        <v>4650.3942307692305</v>
      </c>
    </row>
    <row r="28" spans="1:13" ht="13.5" thickBot="1" x14ac:dyDescent="0.25">
      <c r="B28" s="56" t="str">
        <f>B25</f>
        <v>W/H on excess</v>
      </c>
      <c r="C28" s="80">
        <f>C25</f>
        <v>-8.8461538461538467</v>
      </c>
      <c r="D28" s="21"/>
      <c r="E28" s="21">
        <f>E25</f>
        <v>-67.067307692307693</v>
      </c>
      <c r="F28" s="80"/>
      <c r="G28" s="21">
        <f>G25</f>
        <v>-387.01923076923077</v>
      </c>
      <c r="I28" s="21">
        <f>I25</f>
        <v>-1014.4615384615385</v>
      </c>
      <c r="K28" s="21">
        <f>K25</f>
        <v>-2461.6730769230771</v>
      </c>
      <c r="L28" s="80"/>
      <c r="M28" s="21">
        <f>M25</f>
        <v>-5640.3846153846152</v>
      </c>
    </row>
    <row r="29" spans="1:13" ht="13.5" thickBot="1" x14ac:dyDescent="0.25">
      <c r="B29" s="56" t="s">
        <v>57</v>
      </c>
      <c r="C29" s="84">
        <f>SUM(C27:C28)</f>
        <v>-8.8461538461538467</v>
      </c>
      <c r="D29" s="85"/>
      <c r="E29" s="86">
        <f>SUM(E27:E28)</f>
        <v>-31.20192307692308</v>
      </c>
      <c r="F29" s="85"/>
      <c r="G29" s="86">
        <f>SUM(G27:G28)</f>
        <v>-186.00961538461539</v>
      </c>
      <c r="I29" s="86">
        <f>SUM(I27:I28)</f>
        <v>-294.70192307692309</v>
      </c>
      <c r="K29" s="86">
        <f>SUM(K27:K28)</f>
        <v>-667.68269230769261</v>
      </c>
      <c r="L29" s="87"/>
      <c r="M29" s="86">
        <f>SUM(M27:M28)</f>
        <v>-989.99038461538476</v>
      </c>
    </row>
    <row r="30" spans="1:13" x14ac:dyDescent="0.2">
      <c r="B30" s="56"/>
      <c r="F30" s="80"/>
    </row>
    <row r="31" spans="1:13" x14ac:dyDescent="0.2">
      <c r="B31" s="56" t="s">
        <v>58</v>
      </c>
      <c r="C31" s="63">
        <f>IF(C22=0, ,$C$13)</f>
        <v>0</v>
      </c>
      <c r="D31" s="63"/>
      <c r="E31" s="63">
        <f>IF(E22=0, ,$C$13)</f>
        <v>0</v>
      </c>
      <c r="F31" s="80"/>
      <c r="G31" s="63">
        <f>IF(G22=0, ,$C$13)</f>
        <v>0</v>
      </c>
      <c r="I31" s="63">
        <f>IF(I22=0, ,$C$13)</f>
        <v>0</v>
      </c>
      <c r="K31" s="63">
        <f>IF(K22=0, ,$C$13)</f>
        <v>0</v>
      </c>
      <c r="L31" s="63"/>
      <c r="M31" s="63">
        <f>IF(M22=0, ,$C$13)</f>
        <v>0</v>
      </c>
    </row>
    <row r="32" spans="1:13" x14ac:dyDescent="0.2">
      <c r="B32" s="56" t="s">
        <v>59</v>
      </c>
      <c r="C32" s="63">
        <f>IF(C22=0,0,-C29)</f>
        <v>0</v>
      </c>
      <c r="D32" s="63"/>
      <c r="E32" s="63">
        <f>IF(E22=0,0,-E29)</f>
        <v>0</v>
      </c>
      <c r="F32" s="88"/>
      <c r="G32" s="63">
        <f>IF(G22=0,0,-G29)</f>
        <v>0</v>
      </c>
      <c r="I32" s="63">
        <f>IF(I22=0,0,-I29)</f>
        <v>0</v>
      </c>
      <c r="K32" s="63">
        <f>IF(K22=0,0,-K29)</f>
        <v>0</v>
      </c>
      <c r="L32" s="63"/>
      <c r="M32" s="63">
        <f>IF(M22=0,0,-M29)</f>
        <v>0</v>
      </c>
    </row>
    <row r="33" spans="1:13" x14ac:dyDescent="0.2">
      <c r="B33" s="56" t="s">
        <v>60</v>
      </c>
      <c r="C33" s="63">
        <f>IF(OR($B$18="N",C22=0),0,($C$13-$M$13)*0.0765*-1)</f>
        <v>0</v>
      </c>
      <c r="D33" s="63"/>
      <c r="E33" s="63">
        <f>IF(OR($B$18="N",E22=0),0,($C$13-$M$13)*0.0765*-1)</f>
        <v>0</v>
      </c>
      <c r="F33" s="88"/>
      <c r="G33" s="63">
        <f>IF(OR($B$18="N",G22=0),0,($C$13-$M$13)*0.0765*-1)</f>
        <v>0</v>
      </c>
      <c r="I33" s="63">
        <f>IF(OR($B$18="N",I22=0),0,($C$13-$M$13)*0.0765*-1)</f>
        <v>0</v>
      </c>
      <c r="K33" s="63">
        <f>IF(OR($B$18="N",K22=0),0,($C$13-$M$13)*0.0765*-1)</f>
        <v>0</v>
      </c>
      <c r="L33" s="63"/>
      <c r="M33" s="63">
        <f>IF(OR($B$18="N",M22=0),0,($C$13-$M$13)*0.0765*-1)</f>
        <v>0</v>
      </c>
    </row>
    <row r="34" spans="1:13" ht="13.5" thickBot="1" x14ac:dyDescent="0.25">
      <c r="B34" s="56" t="s">
        <v>15</v>
      </c>
      <c r="C34" s="63">
        <f>IF(C31&gt;0,-$B$16-$B$17,0)</f>
        <v>0</v>
      </c>
      <c r="D34" s="63"/>
      <c r="E34" s="63">
        <f>IF(E31&gt;0,-$B$16-$B$17,0)</f>
        <v>0</v>
      </c>
      <c r="F34" s="88"/>
      <c r="G34" s="63">
        <f>IF(G31&gt;0,-$B$16-$B$17,0)</f>
        <v>0</v>
      </c>
      <c r="I34" s="63">
        <f>IF(I31&gt;0,-$B$16-$B$17,0)</f>
        <v>0</v>
      </c>
      <c r="K34" s="63">
        <f>IF(K31&gt;0,-$B$16-$B$17,0)</f>
        <v>0</v>
      </c>
      <c r="L34" s="63"/>
      <c r="M34" s="63">
        <f>IF(M31&gt;0,-$B$16-$B$17,0)</f>
        <v>0</v>
      </c>
    </row>
    <row r="35" spans="1:13" ht="13.5" thickBot="1" x14ac:dyDescent="0.25">
      <c r="B35" s="56" t="s">
        <v>13</v>
      </c>
      <c r="C35" s="86">
        <f>SUM(C31:C34)</f>
        <v>0</v>
      </c>
      <c r="D35" s="89"/>
      <c r="E35" s="86">
        <f>SUM(E31:E34)</f>
        <v>0</v>
      </c>
      <c r="F35" s="89"/>
      <c r="G35" s="86">
        <f>SUM(G31:G34)</f>
        <v>0</v>
      </c>
      <c r="I35" s="86">
        <f>SUM(I31:I34)</f>
        <v>0</v>
      </c>
      <c r="K35" s="90">
        <f>SUM(K31:K34)</f>
        <v>0</v>
      </c>
      <c r="L35" s="87"/>
      <c r="M35" s="86">
        <f>SUM(M31:M34)</f>
        <v>0</v>
      </c>
    </row>
    <row r="36" spans="1:13" x14ac:dyDescent="0.2">
      <c r="A36" s="56"/>
      <c r="F36" s="80"/>
    </row>
    <row r="37" spans="1:13" x14ac:dyDescent="0.2">
      <c r="F37" s="80"/>
    </row>
    <row r="38" spans="1:13" x14ac:dyDescent="0.2">
      <c r="F38" s="80"/>
    </row>
    <row r="39" spans="1:13" x14ac:dyDescent="0.2">
      <c r="F39" s="80"/>
    </row>
    <row r="40" spans="1:13" x14ac:dyDescent="0.2">
      <c r="A40" s="20" t="s">
        <v>61</v>
      </c>
      <c r="B40" s="91">
        <v>90</v>
      </c>
      <c r="C40" s="63"/>
      <c r="D40" s="63"/>
      <c r="F40" s="88"/>
    </row>
    <row r="41" spans="1:13" x14ac:dyDescent="0.2">
      <c r="A41" s="20" t="s">
        <v>62</v>
      </c>
      <c r="B41" s="91">
        <v>25</v>
      </c>
      <c r="C41" s="63"/>
      <c r="D41" s="63"/>
      <c r="F41" s="88"/>
    </row>
    <row r="42" spans="1:13" x14ac:dyDescent="0.2">
      <c r="B42" s="91"/>
      <c r="C42" s="63"/>
      <c r="D42" s="63"/>
      <c r="F42" s="88"/>
    </row>
    <row r="43" spans="1:13" x14ac:dyDescent="0.2">
      <c r="A43" s="20" t="s">
        <v>63</v>
      </c>
      <c r="B43" s="91">
        <f>'S T Current'!$B$43</f>
        <v>4050</v>
      </c>
      <c r="F43" s="80"/>
    </row>
    <row r="44" spans="1:13" x14ac:dyDescent="0.2">
      <c r="A44" s="20" t="s">
        <v>64</v>
      </c>
      <c r="B44" s="92">
        <f>B43/26</f>
        <v>155.76923076923077</v>
      </c>
      <c r="F44" s="80"/>
    </row>
    <row r="45" spans="1:13" x14ac:dyDescent="0.2">
      <c r="B45" s="92"/>
      <c r="F45" s="80"/>
    </row>
    <row r="46" spans="1:13" x14ac:dyDescent="0.2">
      <c r="A46" s="20" t="s">
        <v>65</v>
      </c>
      <c r="B46" s="91">
        <f>'S T Current'!B46</f>
        <v>2300</v>
      </c>
      <c r="C46" s="91">
        <f>'S T Current'!C46</f>
        <v>11625</v>
      </c>
      <c r="D46" s="91">
        <f>'S T Current'!D46</f>
        <v>0</v>
      </c>
      <c r="E46" s="20" t="s">
        <v>34</v>
      </c>
      <c r="F46" s="93">
        <v>0.1</v>
      </c>
      <c r="G46" s="91">
        <f>B46:B46</f>
        <v>2300</v>
      </c>
    </row>
    <row r="47" spans="1:13" x14ac:dyDescent="0.2">
      <c r="B47" s="91">
        <f>'S T Current'!B47</f>
        <v>11625</v>
      </c>
      <c r="C47" s="91">
        <f>'S T Current'!C47</f>
        <v>40250</v>
      </c>
      <c r="D47" s="91">
        <f>'S T Current'!D47</f>
        <v>932.5</v>
      </c>
      <c r="E47" s="20" t="s">
        <v>34</v>
      </c>
      <c r="F47" s="94">
        <v>0.15</v>
      </c>
      <c r="G47" s="91">
        <f>B47</f>
        <v>11625</v>
      </c>
    </row>
    <row r="48" spans="1:13" x14ac:dyDescent="0.2">
      <c r="B48" s="91">
        <f>'S T Current'!B48</f>
        <v>40250</v>
      </c>
      <c r="C48" s="91">
        <f>'S T Current'!C48</f>
        <v>94200</v>
      </c>
      <c r="D48" s="91">
        <f>'S T Current'!D48</f>
        <v>5226.25</v>
      </c>
      <c r="E48" s="20" t="s">
        <v>34</v>
      </c>
      <c r="F48" s="94">
        <v>0.25</v>
      </c>
      <c r="G48" s="91">
        <f>B48</f>
        <v>40250</v>
      </c>
    </row>
    <row r="49" spans="1:7" x14ac:dyDescent="0.2">
      <c r="B49" s="91">
        <f>'S T Current'!B49</f>
        <v>94200</v>
      </c>
      <c r="C49" s="91">
        <f>'S T Current'!C49</f>
        <v>193950</v>
      </c>
      <c r="D49" s="91">
        <f>'S T Current'!D49</f>
        <v>18713.75</v>
      </c>
      <c r="E49" s="20" t="s">
        <v>34</v>
      </c>
      <c r="F49" s="94">
        <v>0.28000000000000003</v>
      </c>
      <c r="G49" s="91">
        <f>B49</f>
        <v>94200</v>
      </c>
    </row>
    <row r="50" spans="1:7" x14ac:dyDescent="0.2">
      <c r="B50" s="91">
        <f>'S T Current'!B50</f>
        <v>193950</v>
      </c>
      <c r="C50" s="91">
        <f>'S T Current'!C50</f>
        <v>419000</v>
      </c>
      <c r="D50" s="91">
        <f>'S T Current'!D50</f>
        <v>46643.75</v>
      </c>
      <c r="E50" s="20" t="s">
        <v>34</v>
      </c>
      <c r="F50" s="94">
        <v>0.33</v>
      </c>
      <c r="G50" s="91">
        <f>B50</f>
        <v>193950</v>
      </c>
    </row>
    <row r="51" spans="1:7" x14ac:dyDescent="0.2">
      <c r="B51" s="91">
        <f>'S T Current'!B51</f>
        <v>419000</v>
      </c>
      <c r="C51" s="91">
        <f>'S T Current'!C51</f>
        <v>420700</v>
      </c>
      <c r="D51" s="91">
        <f>'S T Current'!D51</f>
        <v>120910.25</v>
      </c>
      <c r="E51" s="20" t="s">
        <v>34</v>
      </c>
      <c r="F51" s="94">
        <v>0.35</v>
      </c>
      <c r="G51" s="91">
        <f>B51</f>
        <v>419000</v>
      </c>
    </row>
    <row r="52" spans="1:7" x14ac:dyDescent="0.2">
      <c r="F52" s="94"/>
    </row>
    <row r="53" spans="1:7" x14ac:dyDescent="0.2">
      <c r="A53" s="20" t="s">
        <v>104</v>
      </c>
      <c r="F53" s="80"/>
    </row>
    <row r="54" spans="1:7" x14ac:dyDescent="0.2">
      <c r="B54" s="91">
        <f>'S T Current'!B54</f>
        <v>88.461538461538467</v>
      </c>
      <c r="C54" s="91">
        <f>'S T Current'!C54</f>
        <v>447.11538461538464</v>
      </c>
      <c r="D54" s="91">
        <f>'S T Current'!D54</f>
        <v>0</v>
      </c>
      <c r="E54" s="20" t="s">
        <v>34</v>
      </c>
      <c r="F54" s="93">
        <v>0.1</v>
      </c>
      <c r="G54" s="91">
        <f>G46/26</f>
        <v>88.461538461538467</v>
      </c>
    </row>
    <row r="55" spans="1:7" x14ac:dyDescent="0.2">
      <c r="B55" s="91">
        <f>'S T Current'!B55</f>
        <v>447.11538461538464</v>
      </c>
      <c r="C55" s="91">
        <f>'S T Current'!C55</f>
        <v>1548.0769230769231</v>
      </c>
      <c r="D55" s="91">
        <f>'S T Current'!D55</f>
        <v>35.865384615384613</v>
      </c>
      <c r="E55" s="20" t="s">
        <v>34</v>
      </c>
      <c r="F55" s="94">
        <v>0.15</v>
      </c>
      <c r="G55" s="91">
        <f t="shared" ref="G55:G59" si="2">G47/26</f>
        <v>447.11538461538464</v>
      </c>
    </row>
    <row r="56" spans="1:7" x14ac:dyDescent="0.2">
      <c r="B56" s="91">
        <f>'S T Current'!B56</f>
        <v>1548.0769230769231</v>
      </c>
      <c r="C56" s="91">
        <f>'S T Current'!C56</f>
        <v>3623.0769230769229</v>
      </c>
      <c r="D56" s="91">
        <f>'S T Current'!D56</f>
        <v>201.00961538461539</v>
      </c>
      <c r="E56" s="20" t="s">
        <v>34</v>
      </c>
      <c r="F56" s="94">
        <v>0.25</v>
      </c>
      <c r="G56" s="91">
        <f t="shared" si="2"/>
        <v>1548.0769230769231</v>
      </c>
    </row>
    <row r="57" spans="1:7" x14ac:dyDescent="0.2">
      <c r="B57" s="91">
        <f>'S T Current'!B57</f>
        <v>3623.0769230769229</v>
      </c>
      <c r="C57" s="91">
        <f>'S T Current'!C57</f>
        <v>7459.6153846153848</v>
      </c>
      <c r="D57" s="91">
        <f>'S T Current'!D57</f>
        <v>719.75961538461536</v>
      </c>
      <c r="E57" s="20" t="s">
        <v>34</v>
      </c>
      <c r="F57" s="94">
        <v>0.28000000000000003</v>
      </c>
      <c r="G57" s="91">
        <f t="shared" si="2"/>
        <v>3623.0769230769229</v>
      </c>
    </row>
    <row r="58" spans="1:7" x14ac:dyDescent="0.2">
      <c r="B58" s="91">
        <f>'S T Current'!B58</f>
        <v>7459.6153846153848</v>
      </c>
      <c r="C58" s="91">
        <f>'S T Current'!C58</f>
        <v>16115.384615384615</v>
      </c>
      <c r="D58" s="91">
        <f>'S T Current'!D58</f>
        <v>1793.9903846153845</v>
      </c>
      <c r="E58" s="20" t="s">
        <v>34</v>
      </c>
      <c r="F58" s="94">
        <v>0.33</v>
      </c>
      <c r="G58" s="91">
        <f t="shared" si="2"/>
        <v>7459.6153846153848</v>
      </c>
    </row>
    <row r="59" spans="1:7" x14ac:dyDescent="0.2">
      <c r="B59" s="91">
        <f>'S T Current'!B59</f>
        <v>16115.384615384615</v>
      </c>
      <c r="C59" s="91">
        <f>'S T Current'!C59</f>
        <v>16180.76923076923</v>
      </c>
      <c r="D59" s="91">
        <f>'S T Current'!D59</f>
        <v>4650.3942307692305</v>
      </c>
      <c r="E59" s="20" t="s">
        <v>34</v>
      </c>
      <c r="F59" s="94">
        <v>0.35</v>
      </c>
      <c r="G59" s="91">
        <f t="shared" si="2"/>
        <v>16115.384615384615</v>
      </c>
    </row>
    <row r="60" spans="1:7" x14ac:dyDescent="0.2">
      <c r="F60" s="80"/>
    </row>
    <row r="61" spans="1:7" x14ac:dyDescent="0.2">
      <c r="A61" s="20" t="s">
        <v>66</v>
      </c>
      <c r="B61" s="91">
        <f>B43/26</f>
        <v>155.76923076923077</v>
      </c>
      <c r="F61" s="80"/>
    </row>
    <row r="62" spans="1:7" x14ac:dyDescent="0.2">
      <c r="F62" s="80"/>
    </row>
    <row r="63" spans="1:7" x14ac:dyDescent="0.2">
      <c r="F63" s="80"/>
    </row>
    <row r="64" spans="1:7" x14ac:dyDescent="0.2">
      <c r="F64" s="80"/>
    </row>
    <row r="65" spans="6:6" x14ac:dyDescent="0.2">
      <c r="F65" s="80"/>
    </row>
    <row r="66" spans="6:6" x14ac:dyDescent="0.2">
      <c r="F66" s="80"/>
    </row>
    <row r="67" spans="6:6" x14ac:dyDescent="0.2">
      <c r="F67" s="80"/>
    </row>
  </sheetData>
  <mergeCells count="1">
    <mergeCell ref="E4:F4"/>
  </mergeCells>
  <pageMargins left="0.25" right="0.25" top="1" bottom="1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13" sqref="C13"/>
    </sheetView>
  </sheetViews>
  <sheetFormatPr defaultRowHeight="12.75" x14ac:dyDescent="0.2"/>
  <cols>
    <col min="1" max="1" width="22.7109375" style="20" customWidth="1"/>
    <col min="2" max="2" width="12.42578125" style="20" customWidth="1"/>
    <col min="3" max="3" width="12.28515625" style="20" customWidth="1"/>
    <col min="4" max="4" width="10.7109375" style="20" customWidth="1"/>
    <col min="5" max="5" width="12" style="20" bestFit="1" customWidth="1"/>
    <col min="6" max="6" width="10.7109375" style="21" customWidth="1"/>
    <col min="7" max="7" width="12" style="20" bestFit="1" customWidth="1"/>
    <col min="8" max="8" width="10.7109375" style="20" customWidth="1"/>
    <col min="9" max="9" width="12.7109375" style="20" bestFit="1" customWidth="1"/>
    <col min="10" max="10" width="10.7109375" style="20" customWidth="1"/>
    <col min="11" max="11" width="13" style="20" customWidth="1"/>
    <col min="12" max="13" width="10.7109375" style="20" customWidth="1"/>
    <col min="14" max="16384" width="9.140625" style="20"/>
  </cols>
  <sheetData>
    <row r="1" spans="1:13" ht="22.5" x14ac:dyDescent="0.3">
      <c r="A1" s="19" t="str">
        <f>'S T Current'!$A$1</f>
        <v>2017 Income Tax Withholding Payment Tables - SINGLE persons</v>
      </c>
    </row>
    <row r="2" spans="1:13" ht="22.5" x14ac:dyDescent="0.3">
      <c r="A2" s="19"/>
    </row>
    <row r="3" spans="1:13" ht="13.5" thickBot="1" x14ac:dyDescent="0.25"/>
    <row r="4" spans="1:13" ht="14.25" x14ac:dyDescent="0.3">
      <c r="A4" s="22" t="s">
        <v>27</v>
      </c>
      <c r="B4" s="23"/>
      <c r="C4" s="24" t="s">
        <v>28</v>
      </c>
      <c r="D4" s="24"/>
      <c r="E4" s="125" t="s">
        <v>29</v>
      </c>
      <c r="F4" s="126"/>
      <c r="H4" s="25" t="s">
        <v>30</v>
      </c>
      <c r="I4" s="26"/>
      <c r="J4" s="26"/>
      <c r="K4" s="26"/>
      <c r="L4" s="26"/>
      <c r="M4" s="27"/>
    </row>
    <row r="5" spans="1:13" x14ac:dyDescent="0.2">
      <c r="A5" s="28">
        <f>B54</f>
        <v>88.461538461538467</v>
      </c>
      <c r="B5" s="29">
        <f>C54</f>
        <v>447.11538461538464</v>
      </c>
      <c r="C5" s="29">
        <f>D54</f>
        <v>0</v>
      </c>
      <c r="D5" s="30"/>
      <c r="E5" s="31">
        <v>0.1</v>
      </c>
      <c r="F5" s="32">
        <f t="shared" ref="F5:F10" si="0">A5</f>
        <v>88.461538461538467</v>
      </c>
      <c r="H5" s="33"/>
      <c r="I5" s="34" t="s">
        <v>31</v>
      </c>
      <c r="J5" s="35" t="s">
        <v>32</v>
      </c>
      <c r="K5" s="36"/>
      <c r="L5" s="35" t="s">
        <v>33</v>
      </c>
      <c r="M5" s="37" t="s">
        <v>32</v>
      </c>
    </row>
    <row r="6" spans="1:13" x14ac:dyDescent="0.2">
      <c r="A6" s="38">
        <f t="shared" ref="A6:C10" si="1">B55</f>
        <v>447.11538461538464</v>
      </c>
      <c r="B6" s="39">
        <f t="shared" si="1"/>
        <v>1548.0769230769231</v>
      </c>
      <c r="C6" s="39">
        <f t="shared" si="1"/>
        <v>35.865384615384613</v>
      </c>
      <c r="D6" s="40" t="s">
        <v>34</v>
      </c>
      <c r="E6" s="41">
        <v>0.15</v>
      </c>
      <c r="F6" s="42">
        <f t="shared" si="0"/>
        <v>447.11538461538464</v>
      </c>
      <c r="H6" s="43">
        <v>1</v>
      </c>
      <c r="I6" s="20" t="s">
        <v>76</v>
      </c>
      <c r="J6" s="98">
        <f>'Estimated Net Pay Calculation'!$F$33*-1</f>
        <v>150</v>
      </c>
      <c r="K6" s="36"/>
      <c r="L6" s="20" t="s">
        <v>36</v>
      </c>
      <c r="M6" s="96">
        <f>'Estimated Net Pay Calculation'!$F$29*-1</f>
        <v>90</v>
      </c>
    </row>
    <row r="7" spans="1:13" x14ac:dyDescent="0.2">
      <c r="A7" s="28">
        <f t="shared" si="1"/>
        <v>1548.0769230769231</v>
      </c>
      <c r="B7" s="29">
        <f t="shared" si="1"/>
        <v>3623.0769230769229</v>
      </c>
      <c r="C7" s="29">
        <f t="shared" si="1"/>
        <v>201.00961538461539</v>
      </c>
      <c r="D7" s="44" t="s">
        <v>34</v>
      </c>
      <c r="E7" s="31">
        <v>0.25</v>
      </c>
      <c r="F7" s="32">
        <f t="shared" si="0"/>
        <v>1548.0769230769231</v>
      </c>
      <c r="H7" s="43">
        <v>2</v>
      </c>
      <c r="I7" s="45" t="s">
        <v>37</v>
      </c>
      <c r="J7" s="95">
        <f>'Estimated Net Pay Calculation'!$F$31*-1</f>
        <v>112.5</v>
      </c>
      <c r="K7" s="36"/>
      <c r="L7" s="20" t="s">
        <v>38</v>
      </c>
      <c r="M7" s="96">
        <f>'Estimated Net Pay Calculation'!$F$30*-1</f>
        <v>50</v>
      </c>
    </row>
    <row r="8" spans="1:13" x14ac:dyDescent="0.2">
      <c r="A8" s="38">
        <f t="shared" si="1"/>
        <v>3623.0769230769229</v>
      </c>
      <c r="B8" s="39">
        <f t="shared" si="1"/>
        <v>7459.6153846153848</v>
      </c>
      <c r="C8" s="39">
        <f t="shared" si="1"/>
        <v>719.75961538461536</v>
      </c>
      <c r="D8" s="40" t="s">
        <v>34</v>
      </c>
      <c r="E8" s="41">
        <v>0.28000000000000003</v>
      </c>
      <c r="F8" s="42">
        <f t="shared" si="0"/>
        <v>3623.0769230769229</v>
      </c>
      <c r="H8" s="43">
        <v>3</v>
      </c>
      <c r="I8" s="20" t="s">
        <v>97</v>
      </c>
      <c r="J8" s="95">
        <f>'Estimated Net Pay Calculation'!$F$32*-1</f>
        <v>112.5</v>
      </c>
      <c r="K8" s="36"/>
      <c r="L8" s="45"/>
      <c r="M8" s="46"/>
    </row>
    <row r="9" spans="1:13" x14ac:dyDescent="0.2">
      <c r="A9" s="28">
        <f t="shared" si="1"/>
        <v>7459.6153846153848</v>
      </c>
      <c r="B9" s="29">
        <f t="shared" si="1"/>
        <v>16115.384615384615</v>
      </c>
      <c r="C9" s="29">
        <f t="shared" si="1"/>
        <v>1793.9903846153845</v>
      </c>
      <c r="D9" s="47" t="s">
        <v>34</v>
      </c>
      <c r="E9" s="48">
        <v>0.33</v>
      </c>
      <c r="F9" s="49">
        <f t="shared" si="0"/>
        <v>7459.6153846153848</v>
      </c>
      <c r="H9" s="43">
        <v>4</v>
      </c>
      <c r="J9" s="45"/>
      <c r="K9" s="36"/>
      <c r="L9" s="45"/>
      <c r="M9" s="46"/>
    </row>
    <row r="10" spans="1:13" ht="13.5" thickBot="1" x14ac:dyDescent="0.25">
      <c r="A10" s="50">
        <f t="shared" si="1"/>
        <v>16115.384615384615</v>
      </c>
      <c r="B10" s="51">
        <f t="shared" si="1"/>
        <v>16180.76923076923</v>
      </c>
      <c r="C10" s="51">
        <f t="shared" si="1"/>
        <v>4650.3942307692305</v>
      </c>
      <c r="D10" s="52" t="s">
        <v>34</v>
      </c>
      <c r="E10" s="53">
        <v>0.35</v>
      </c>
      <c r="F10" s="54">
        <f t="shared" si="0"/>
        <v>16115.384615384615</v>
      </c>
      <c r="H10" s="43">
        <v>5</v>
      </c>
      <c r="J10" s="45"/>
      <c r="K10" s="36"/>
      <c r="L10" s="45"/>
      <c r="M10" s="46"/>
    </row>
    <row r="11" spans="1:13" x14ac:dyDescent="0.2">
      <c r="H11" s="43">
        <v>6</v>
      </c>
      <c r="J11" s="45"/>
      <c r="K11" s="36"/>
      <c r="L11" s="45"/>
      <c r="M11" s="46"/>
    </row>
    <row r="12" spans="1:13" ht="13.5" thickBot="1" x14ac:dyDescent="0.25">
      <c r="C12" s="20">
        <v>26.1</v>
      </c>
      <c r="D12" s="20" t="s">
        <v>39</v>
      </c>
      <c r="H12" s="43">
        <v>7</v>
      </c>
      <c r="J12" s="55"/>
      <c r="K12" s="36"/>
      <c r="L12" s="45"/>
      <c r="M12" s="46"/>
    </row>
    <row r="13" spans="1:13" ht="13.5" thickBot="1" x14ac:dyDescent="0.25">
      <c r="A13" s="56" t="s">
        <v>40</v>
      </c>
      <c r="B13" s="57">
        <v>31000</v>
      </c>
      <c r="C13" s="21">
        <f>IF('Estimated Net Pay Calculation'!$B$22="S",'Estimated Net Pay Calculation'!$F$27,0)</f>
        <v>0</v>
      </c>
      <c r="D13" s="20" t="s">
        <v>41</v>
      </c>
      <c r="H13" s="58" t="s">
        <v>42</v>
      </c>
      <c r="I13" s="59"/>
      <c r="J13" s="59">
        <f>SUM(J6:J12)</f>
        <v>375</v>
      </c>
      <c r="K13" s="59"/>
      <c r="L13" s="59"/>
      <c r="M13" s="60">
        <f>SUM(M6:M12)</f>
        <v>140</v>
      </c>
    </row>
    <row r="14" spans="1:13" ht="3" customHeight="1" thickBot="1" x14ac:dyDescent="0.25">
      <c r="A14" s="56"/>
      <c r="B14" s="61"/>
    </row>
    <row r="15" spans="1:13" ht="13.5" thickBot="1" x14ac:dyDescent="0.25">
      <c r="A15" s="56" t="s">
        <v>43</v>
      </c>
      <c r="B15" s="97">
        <f>'Estimated Net Pay Calculation'!$B$23</f>
        <v>1</v>
      </c>
      <c r="C15" s="21">
        <f>-(B44*B15)</f>
        <v>-155.76923076923077</v>
      </c>
      <c r="D15" s="20" t="s">
        <v>44</v>
      </c>
    </row>
    <row r="16" spans="1:13" ht="13.5" thickBot="1" x14ac:dyDescent="0.25">
      <c r="A16" s="20" t="s">
        <v>45</v>
      </c>
      <c r="B16" s="62">
        <f>J13+M13</f>
        <v>515</v>
      </c>
      <c r="C16" s="63">
        <f>-B16</f>
        <v>-515</v>
      </c>
    </row>
    <row r="17" spans="1:13" ht="13.5" thickBot="1" x14ac:dyDescent="0.25">
      <c r="A17" s="20" t="s">
        <v>46</v>
      </c>
      <c r="B17" s="99">
        <f>'Estimated Net Pay Calculation'!$F$34*-1</f>
        <v>70</v>
      </c>
      <c r="C17" s="64">
        <f>SUM(C13:C16)</f>
        <v>-670.76923076923072</v>
      </c>
      <c r="D17" s="65" t="s">
        <v>47</v>
      </c>
    </row>
    <row r="18" spans="1:13" x14ac:dyDescent="0.2">
      <c r="A18" s="66" t="s">
        <v>48</v>
      </c>
      <c r="B18" s="67" t="s">
        <v>49</v>
      </c>
    </row>
    <row r="19" spans="1:13" x14ac:dyDescent="0.2">
      <c r="C19" s="68" t="s">
        <v>50</v>
      </c>
      <c r="E19" s="68" t="s">
        <v>50</v>
      </c>
      <c r="G19" s="68" t="s">
        <v>50</v>
      </c>
      <c r="I19" s="68" t="s">
        <v>50</v>
      </c>
      <c r="K19" s="68" t="s">
        <v>50</v>
      </c>
      <c r="L19" s="36"/>
      <c r="M19" s="36" t="s">
        <v>51</v>
      </c>
    </row>
    <row r="20" spans="1:13" x14ac:dyDescent="0.2">
      <c r="C20" s="36" t="s">
        <v>105</v>
      </c>
      <c r="D20" s="36"/>
      <c r="E20" s="36" t="s">
        <v>106</v>
      </c>
      <c r="F20" s="69"/>
      <c r="G20" s="36" t="s">
        <v>109</v>
      </c>
      <c r="I20" s="36" t="s">
        <v>107</v>
      </c>
      <c r="K20" s="70" t="s">
        <v>108</v>
      </c>
      <c r="L20" s="70"/>
      <c r="M20" s="70">
        <v>14042</v>
      </c>
    </row>
    <row r="21" spans="1:13" ht="13.5" thickBot="1" x14ac:dyDescent="0.25">
      <c r="C21" s="71"/>
      <c r="D21" s="71"/>
      <c r="E21" s="71"/>
      <c r="F21" s="72"/>
    </row>
    <row r="22" spans="1:13" ht="15.75" thickBot="1" x14ac:dyDescent="0.4">
      <c r="B22" s="56" t="s">
        <v>52</v>
      </c>
      <c r="C22" s="73">
        <f>IF(AND($C$17&gt;A5,$C$17&lt;B5),$C$17,0)</f>
        <v>0</v>
      </c>
      <c r="D22" s="74"/>
      <c r="E22" s="73">
        <f>IF(AND($C$17&gt;A6,$C$17&lt;B6),$C$17,0)</f>
        <v>0</v>
      </c>
      <c r="F22" s="75"/>
      <c r="G22" s="73">
        <f>IF(AND($C$17&gt;A7,$C$17&lt;B7),$C$17,0)</f>
        <v>0</v>
      </c>
      <c r="H22" s="21"/>
      <c r="I22" s="73">
        <f>IF(AND($C$17&gt;A8,$C$17&lt;B8),$C$17,0)</f>
        <v>0</v>
      </c>
      <c r="J22" s="21"/>
      <c r="K22" s="73">
        <f>IF(AND($C$17&gt;A9,$C$17&lt;B9),$C$17,0)</f>
        <v>0</v>
      </c>
      <c r="L22" s="76"/>
      <c r="M22" s="73">
        <f>IF(($C$17&gt;A10),$C$17,0)</f>
        <v>0</v>
      </c>
    </row>
    <row r="23" spans="1:13" ht="24" customHeight="1" x14ac:dyDescent="0.2">
      <c r="B23" s="56" t="s">
        <v>53</v>
      </c>
      <c r="C23" s="77">
        <f>A5</f>
        <v>88.461538461538467</v>
      </c>
      <c r="D23" s="78"/>
      <c r="E23" s="77">
        <f>B5</f>
        <v>447.11538461538464</v>
      </c>
      <c r="F23" s="78"/>
      <c r="G23" s="79">
        <f>A7</f>
        <v>1548.0769230769231</v>
      </c>
      <c r="H23" s="21"/>
      <c r="I23" s="79">
        <f>A8</f>
        <v>3623.0769230769229</v>
      </c>
      <c r="J23" s="21"/>
      <c r="K23" s="79">
        <f>A9</f>
        <v>7459.6153846153848</v>
      </c>
      <c r="L23" s="80"/>
      <c r="M23" s="79">
        <f>A10</f>
        <v>16115.384615384615</v>
      </c>
    </row>
    <row r="24" spans="1:13" ht="19.5" customHeight="1" x14ac:dyDescent="0.2">
      <c r="B24" s="56" t="s">
        <v>54</v>
      </c>
      <c r="C24" s="81">
        <f>C22-C23</f>
        <v>-88.461538461538467</v>
      </c>
      <c r="D24" s="81"/>
      <c r="E24" s="81">
        <f>E22-E23</f>
        <v>-447.11538461538464</v>
      </c>
      <c r="F24" s="78"/>
      <c r="G24" s="81">
        <f>G22-G23</f>
        <v>-1548.0769230769231</v>
      </c>
      <c r="I24" s="81">
        <f>I22-I23</f>
        <v>-3623.0769230769229</v>
      </c>
      <c r="K24" s="81">
        <f>K22-K23</f>
        <v>-7459.6153846153848</v>
      </c>
      <c r="L24" s="81"/>
      <c r="M24" s="81">
        <f>M22-M23</f>
        <v>-16115.384615384615</v>
      </c>
    </row>
    <row r="25" spans="1:13" x14ac:dyDescent="0.2">
      <c r="B25" s="56" t="s">
        <v>55</v>
      </c>
      <c r="C25" s="82">
        <f>C24*E5</f>
        <v>-8.8461538461538467</v>
      </c>
      <c r="D25" s="81"/>
      <c r="E25" s="82">
        <f>E24*E6</f>
        <v>-67.067307692307693</v>
      </c>
      <c r="F25" s="78"/>
      <c r="G25" s="82">
        <f>G24*E7</f>
        <v>-387.01923076923077</v>
      </c>
      <c r="I25" s="82">
        <f>I24*E8</f>
        <v>-1014.4615384615385</v>
      </c>
      <c r="K25" s="82">
        <f>K24*E9</f>
        <v>-2461.6730769230771</v>
      </c>
      <c r="L25" s="78"/>
      <c r="M25" s="82">
        <f>M24*E10</f>
        <v>-5640.3846153846152</v>
      </c>
    </row>
    <row r="26" spans="1:13" x14ac:dyDescent="0.2">
      <c r="C26" s="21"/>
      <c r="D26" s="21"/>
      <c r="F26" s="80"/>
    </row>
    <row r="27" spans="1:13" x14ac:dyDescent="0.2">
      <c r="B27" s="56" t="s">
        <v>56</v>
      </c>
      <c r="C27" s="21">
        <v>0</v>
      </c>
      <c r="D27" s="21"/>
      <c r="E27" s="83">
        <f>C6</f>
        <v>35.865384615384613</v>
      </c>
      <c r="F27" s="80"/>
      <c r="G27" s="83">
        <f>C7</f>
        <v>201.00961538461539</v>
      </c>
      <c r="H27" s="21"/>
      <c r="I27" s="83">
        <f>C8</f>
        <v>719.75961538461536</v>
      </c>
      <c r="J27" s="21"/>
      <c r="K27" s="83">
        <f>C9</f>
        <v>1793.9903846153845</v>
      </c>
      <c r="L27" s="21"/>
      <c r="M27" s="83">
        <f>C10</f>
        <v>4650.3942307692305</v>
      </c>
    </row>
    <row r="28" spans="1:13" ht="13.5" thickBot="1" x14ac:dyDescent="0.25">
      <c r="B28" s="56" t="str">
        <f>B25</f>
        <v>W/H on excess</v>
      </c>
      <c r="C28" s="80">
        <f>C25</f>
        <v>-8.8461538461538467</v>
      </c>
      <c r="D28" s="21"/>
      <c r="E28" s="21">
        <f>E25</f>
        <v>-67.067307692307693</v>
      </c>
      <c r="F28" s="80"/>
      <c r="G28" s="21">
        <f>G25</f>
        <v>-387.01923076923077</v>
      </c>
      <c r="I28" s="21">
        <f>I25</f>
        <v>-1014.4615384615385</v>
      </c>
      <c r="K28" s="21">
        <f>K25</f>
        <v>-2461.6730769230771</v>
      </c>
      <c r="L28" s="80"/>
      <c r="M28" s="21">
        <f>M25</f>
        <v>-5640.3846153846152</v>
      </c>
    </row>
    <row r="29" spans="1:13" ht="13.5" thickBot="1" x14ac:dyDescent="0.25">
      <c r="B29" s="56" t="s">
        <v>57</v>
      </c>
      <c r="C29" s="84">
        <f>SUM(C27:C28)</f>
        <v>-8.8461538461538467</v>
      </c>
      <c r="D29" s="85"/>
      <c r="E29" s="86">
        <f>SUM(E27:E28)</f>
        <v>-31.20192307692308</v>
      </c>
      <c r="F29" s="85"/>
      <c r="G29" s="86">
        <f>SUM(G27:G28)</f>
        <v>-186.00961538461539</v>
      </c>
      <c r="I29" s="86">
        <f>SUM(I27:I28)</f>
        <v>-294.70192307692309</v>
      </c>
      <c r="K29" s="86">
        <f>SUM(K27:K28)</f>
        <v>-667.68269230769261</v>
      </c>
      <c r="L29" s="87"/>
      <c r="M29" s="86">
        <f>SUM(M27:M28)</f>
        <v>-989.99038461538476</v>
      </c>
    </row>
    <row r="30" spans="1:13" x14ac:dyDescent="0.2">
      <c r="B30" s="56"/>
      <c r="F30" s="80"/>
    </row>
    <row r="31" spans="1:13" x14ac:dyDescent="0.2">
      <c r="B31" s="56" t="s">
        <v>58</v>
      </c>
      <c r="C31" s="63">
        <f>IF(C22=0, ,$C$13)</f>
        <v>0</v>
      </c>
      <c r="D31" s="63"/>
      <c r="E31" s="63">
        <f>IF(E22=0, ,$C$13)</f>
        <v>0</v>
      </c>
      <c r="F31" s="80"/>
      <c r="G31" s="63">
        <f>IF(G22=0, ,$C$13)</f>
        <v>0</v>
      </c>
      <c r="I31" s="63">
        <f>IF(I22=0, ,$C$13)</f>
        <v>0</v>
      </c>
      <c r="K31" s="63">
        <f>IF(K22=0, ,$C$13)</f>
        <v>0</v>
      </c>
      <c r="L31" s="63"/>
      <c r="M31" s="63">
        <f>IF(M22=0, ,$C$13)</f>
        <v>0</v>
      </c>
    </row>
    <row r="32" spans="1:13" x14ac:dyDescent="0.2">
      <c r="B32" s="56" t="s">
        <v>59</v>
      </c>
      <c r="C32" s="63">
        <f>IF(C22=0,0,-C29)</f>
        <v>0</v>
      </c>
      <c r="D32" s="63"/>
      <c r="E32" s="63">
        <f>IF(E22=0,0,-E29)</f>
        <v>0</v>
      </c>
      <c r="F32" s="88"/>
      <c r="G32" s="63">
        <f>IF(G22=0,0,-G29)</f>
        <v>0</v>
      </c>
      <c r="I32" s="63">
        <f>IF(I22=0,0,-I29)</f>
        <v>0</v>
      </c>
      <c r="K32" s="63">
        <f>IF(K22=0,0,-K29)</f>
        <v>0</v>
      </c>
      <c r="L32" s="63"/>
      <c r="M32" s="63">
        <f>IF(M22=0,0,-M29)</f>
        <v>0</v>
      </c>
    </row>
    <row r="33" spans="1:13" x14ac:dyDescent="0.2">
      <c r="B33" s="56" t="s">
        <v>60</v>
      </c>
      <c r="C33" s="63">
        <f>IF(OR($B$18="N",C22=0),0,($C$13-$M$13)*0.0765*-1)</f>
        <v>0</v>
      </c>
      <c r="D33" s="63"/>
      <c r="E33" s="63">
        <f>IF(OR($B$18="N",E22=0),0,($C$13-$M$13)*0.0765*-1)</f>
        <v>0</v>
      </c>
      <c r="F33" s="88"/>
      <c r="G33" s="63">
        <f>IF(OR($B$18="N",G22=0),0,($C$13-$M$13)*0.0765*-1)</f>
        <v>0</v>
      </c>
      <c r="I33" s="63">
        <f>IF(OR($B$18="N",I22=0),0,($C$13-$M$13)*0.0765*-1)</f>
        <v>0</v>
      </c>
      <c r="K33" s="63">
        <f>IF(OR($B$18="N",K22=0),0,($C$13-$M$13)*0.0765*-1)</f>
        <v>0</v>
      </c>
      <c r="L33" s="63"/>
      <c r="M33" s="63">
        <f>IF(OR($B$18="N",M22=0),0,($C$13-$M$13)*0.0765*-1)</f>
        <v>0</v>
      </c>
    </row>
    <row r="34" spans="1:13" ht="13.5" thickBot="1" x14ac:dyDescent="0.25">
      <c r="B34" s="56" t="s">
        <v>15</v>
      </c>
      <c r="C34" s="63">
        <f>IF(C31&gt;0,-$B$16-$B$17,0)</f>
        <v>0</v>
      </c>
      <c r="D34" s="63"/>
      <c r="E34" s="63">
        <f>IF(E31&gt;0,-$B$16-$B$17,0)</f>
        <v>0</v>
      </c>
      <c r="F34" s="88"/>
      <c r="G34" s="63">
        <f>IF(G31&gt;0,-$B$16-$B$17,0)</f>
        <v>0</v>
      </c>
      <c r="I34" s="63">
        <f>IF(I31&gt;0,-$B$16-$B$17,0)</f>
        <v>0</v>
      </c>
      <c r="K34" s="63">
        <f>IF(K31&gt;0,-$B$16-$B$17,0)</f>
        <v>0</v>
      </c>
      <c r="L34" s="63"/>
      <c r="M34" s="63">
        <f>IF(M31&gt;0,-$B$16-$B$17,0)</f>
        <v>0</v>
      </c>
    </row>
    <row r="35" spans="1:13" ht="13.5" thickBot="1" x14ac:dyDescent="0.25">
      <c r="B35" s="56" t="s">
        <v>13</v>
      </c>
      <c r="C35" s="86">
        <f>SUM(C31:C34)</f>
        <v>0</v>
      </c>
      <c r="D35" s="89"/>
      <c r="E35" s="86">
        <f>SUM(E31:E34)</f>
        <v>0</v>
      </c>
      <c r="F35" s="89"/>
      <c r="G35" s="86">
        <f>SUM(G31:G34)</f>
        <v>0</v>
      </c>
      <c r="I35" s="86">
        <f>SUM(I31:I34)</f>
        <v>0</v>
      </c>
      <c r="K35" s="90">
        <f>SUM(K31:K34)</f>
        <v>0</v>
      </c>
      <c r="L35" s="87"/>
      <c r="M35" s="86">
        <f>SUM(M31:M34)</f>
        <v>0</v>
      </c>
    </row>
    <row r="36" spans="1:13" x14ac:dyDescent="0.2">
      <c r="A36" s="56"/>
      <c r="F36" s="80"/>
    </row>
    <row r="37" spans="1:13" x14ac:dyDescent="0.2">
      <c r="F37" s="80"/>
    </row>
    <row r="38" spans="1:13" x14ac:dyDescent="0.2">
      <c r="F38" s="80"/>
    </row>
    <row r="39" spans="1:13" x14ac:dyDescent="0.2">
      <c r="F39" s="80"/>
    </row>
    <row r="40" spans="1:13" x14ac:dyDescent="0.2">
      <c r="A40" s="20" t="s">
        <v>61</v>
      </c>
      <c r="B40" s="91">
        <v>90</v>
      </c>
      <c r="C40" s="63"/>
      <c r="D40" s="63"/>
      <c r="F40" s="88"/>
    </row>
    <row r="41" spans="1:13" x14ac:dyDescent="0.2">
      <c r="A41" s="20" t="s">
        <v>62</v>
      </c>
      <c r="B41" s="91">
        <v>25</v>
      </c>
      <c r="C41" s="63"/>
      <c r="D41" s="63"/>
      <c r="F41" s="88"/>
    </row>
    <row r="42" spans="1:13" x14ac:dyDescent="0.2">
      <c r="B42" s="91"/>
      <c r="C42" s="63"/>
      <c r="D42" s="63"/>
      <c r="F42" s="88"/>
    </row>
    <row r="43" spans="1:13" x14ac:dyDescent="0.2">
      <c r="A43" s="20" t="s">
        <v>63</v>
      </c>
      <c r="B43" s="91">
        <f>'S T Current'!$B$43</f>
        <v>4050</v>
      </c>
      <c r="F43" s="80"/>
    </row>
    <row r="44" spans="1:13" x14ac:dyDescent="0.2">
      <c r="A44" s="20" t="s">
        <v>64</v>
      </c>
      <c r="B44" s="92">
        <f>B43/26</f>
        <v>155.76923076923077</v>
      </c>
      <c r="F44" s="80"/>
    </row>
    <row r="45" spans="1:13" x14ac:dyDescent="0.2">
      <c r="B45" s="92"/>
      <c r="F45" s="80"/>
    </row>
    <row r="46" spans="1:13" x14ac:dyDescent="0.2">
      <c r="A46" s="20" t="s">
        <v>65</v>
      </c>
      <c r="B46" s="91">
        <f>'S T Current'!B46</f>
        <v>2300</v>
      </c>
      <c r="C46" s="91">
        <f>'S T Current'!C46</f>
        <v>11625</v>
      </c>
      <c r="D46" s="91">
        <f>'S T Current'!D46</f>
        <v>0</v>
      </c>
      <c r="E46" s="20" t="s">
        <v>34</v>
      </c>
      <c r="F46" s="93">
        <v>0.1</v>
      </c>
      <c r="G46" s="91">
        <f>B46:B46</f>
        <v>2300</v>
      </c>
    </row>
    <row r="47" spans="1:13" x14ac:dyDescent="0.2">
      <c r="B47" s="91">
        <f>'S T Current'!B47</f>
        <v>11625</v>
      </c>
      <c r="C47" s="91">
        <f>'S T Current'!C47</f>
        <v>40250</v>
      </c>
      <c r="D47" s="91">
        <f>'S T Current'!D47</f>
        <v>932.5</v>
      </c>
      <c r="E47" s="20" t="s">
        <v>34</v>
      </c>
      <c r="F47" s="94">
        <v>0.15</v>
      </c>
      <c r="G47" s="91">
        <f>B47</f>
        <v>11625</v>
      </c>
    </row>
    <row r="48" spans="1:13" x14ac:dyDescent="0.2">
      <c r="B48" s="91">
        <f>'S T Current'!B48</f>
        <v>40250</v>
      </c>
      <c r="C48" s="91">
        <f>'S T Current'!C48</f>
        <v>94200</v>
      </c>
      <c r="D48" s="91">
        <f>'S T Current'!D48</f>
        <v>5226.25</v>
      </c>
      <c r="E48" s="20" t="s">
        <v>34</v>
      </c>
      <c r="F48" s="94">
        <v>0.25</v>
      </c>
      <c r="G48" s="91">
        <f>B48</f>
        <v>40250</v>
      </c>
    </row>
    <row r="49" spans="1:7" x14ac:dyDescent="0.2">
      <c r="B49" s="91">
        <f>'S T Current'!B49</f>
        <v>94200</v>
      </c>
      <c r="C49" s="91">
        <f>'S T Current'!C49</f>
        <v>193950</v>
      </c>
      <c r="D49" s="91">
        <f>'S T Current'!D49</f>
        <v>18713.75</v>
      </c>
      <c r="E49" s="20" t="s">
        <v>34</v>
      </c>
      <c r="F49" s="94">
        <v>0.28000000000000003</v>
      </c>
      <c r="G49" s="91">
        <f>B49</f>
        <v>94200</v>
      </c>
    </row>
    <row r="50" spans="1:7" x14ac:dyDescent="0.2">
      <c r="B50" s="91">
        <f>'S T Current'!B50</f>
        <v>193950</v>
      </c>
      <c r="C50" s="91">
        <f>'S T Current'!C50</f>
        <v>419000</v>
      </c>
      <c r="D50" s="91">
        <f>'S T Current'!D50</f>
        <v>46643.75</v>
      </c>
      <c r="E50" s="20" t="s">
        <v>34</v>
      </c>
      <c r="F50" s="94">
        <v>0.33</v>
      </c>
      <c r="G50" s="91">
        <f>B50</f>
        <v>193950</v>
      </c>
    </row>
    <row r="51" spans="1:7" x14ac:dyDescent="0.2">
      <c r="B51" s="91">
        <f>'S T Current'!B51</f>
        <v>419000</v>
      </c>
      <c r="C51" s="91">
        <f>'S T Current'!C51</f>
        <v>420700</v>
      </c>
      <c r="D51" s="91">
        <f>'S T Current'!D51</f>
        <v>120910.25</v>
      </c>
      <c r="E51" s="20" t="s">
        <v>34</v>
      </c>
      <c r="F51" s="94">
        <v>0.35</v>
      </c>
      <c r="G51" s="91">
        <f>B51</f>
        <v>419000</v>
      </c>
    </row>
    <row r="52" spans="1:7" x14ac:dyDescent="0.2">
      <c r="F52" s="94"/>
    </row>
    <row r="53" spans="1:7" x14ac:dyDescent="0.2">
      <c r="A53" s="20" t="s">
        <v>104</v>
      </c>
      <c r="F53" s="80"/>
    </row>
    <row r="54" spans="1:7" x14ac:dyDescent="0.2">
      <c r="B54" s="91">
        <f>'S T Current'!B54</f>
        <v>88.461538461538467</v>
      </c>
      <c r="C54" s="91">
        <f>'S T Current'!C54</f>
        <v>447.11538461538464</v>
      </c>
      <c r="D54" s="91">
        <f>'S T Current'!D54</f>
        <v>0</v>
      </c>
      <c r="E54" s="20" t="s">
        <v>34</v>
      </c>
      <c r="F54" s="93">
        <v>0.1</v>
      </c>
      <c r="G54" s="91">
        <f>G46/26</f>
        <v>88.461538461538467</v>
      </c>
    </row>
    <row r="55" spans="1:7" x14ac:dyDescent="0.2">
      <c r="B55" s="91">
        <f>'S T Current'!B55</f>
        <v>447.11538461538464</v>
      </c>
      <c r="C55" s="91">
        <f>'S T Current'!C55</f>
        <v>1548.0769230769231</v>
      </c>
      <c r="D55" s="91">
        <f>'S T Current'!D55</f>
        <v>35.865384615384613</v>
      </c>
      <c r="E55" s="20" t="s">
        <v>34</v>
      </c>
      <c r="F55" s="94">
        <v>0.15</v>
      </c>
      <c r="G55" s="91">
        <f t="shared" ref="G55:G59" si="2">G47/26</f>
        <v>447.11538461538464</v>
      </c>
    </row>
    <row r="56" spans="1:7" x14ac:dyDescent="0.2">
      <c r="B56" s="91">
        <f>'S T Current'!B56</f>
        <v>1548.0769230769231</v>
      </c>
      <c r="C56" s="91">
        <f>'S T Current'!C56</f>
        <v>3623.0769230769229</v>
      </c>
      <c r="D56" s="91">
        <f>'S T Current'!D56</f>
        <v>201.00961538461539</v>
      </c>
      <c r="E56" s="20" t="s">
        <v>34</v>
      </c>
      <c r="F56" s="94">
        <v>0.25</v>
      </c>
      <c r="G56" s="91">
        <f t="shared" si="2"/>
        <v>1548.0769230769231</v>
      </c>
    </row>
    <row r="57" spans="1:7" x14ac:dyDescent="0.2">
      <c r="B57" s="91">
        <f>'S T Current'!B57</f>
        <v>3623.0769230769229</v>
      </c>
      <c r="C57" s="91">
        <f>'S T Current'!C57</f>
        <v>7459.6153846153848</v>
      </c>
      <c r="D57" s="91">
        <f>'S T Current'!D57</f>
        <v>719.75961538461536</v>
      </c>
      <c r="E57" s="20" t="s">
        <v>34</v>
      </c>
      <c r="F57" s="94">
        <v>0.28000000000000003</v>
      </c>
      <c r="G57" s="91">
        <f t="shared" si="2"/>
        <v>3623.0769230769229</v>
      </c>
    </row>
    <row r="58" spans="1:7" x14ac:dyDescent="0.2">
      <c r="B58" s="91">
        <f>'S T Current'!B58</f>
        <v>7459.6153846153848</v>
      </c>
      <c r="C58" s="91">
        <f>'S T Current'!C58</f>
        <v>16115.384615384615</v>
      </c>
      <c r="D58" s="91">
        <f>'S T Current'!D58</f>
        <v>1793.9903846153845</v>
      </c>
      <c r="E58" s="20" t="s">
        <v>34</v>
      </c>
      <c r="F58" s="94">
        <v>0.33</v>
      </c>
      <c r="G58" s="91">
        <f t="shared" si="2"/>
        <v>7459.6153846153848</v>
      </c>
    </row>
    <row r="59" spans="1:7" x14ac:dyDescent="0.2">
      <c r="B59" s="91">
        <f>'S T Current'!B59</f>
        <v>16115.384615384615</v>
      </c>
      <c r="C59" s="91">
        <f>'S T Current'!C59</f>
        <v>16180.76923076923</v>
      </c>
      <c r="D59" s="91">
        <f>'S T Current'!D59</f>
        <v>4650.3942307692305</v>
      </c>
      <c r="E59" s="20" t="s">
        <v>34</v>
      </c>
      <c r="F59" s="94">
        <v>0.35</v>
      </c>
      <c r="G59" s="91">
        <f t="shared" si="2"/>
        <v>16115.384615384615</v>
      </c>
    </row>
    <row r="60" spans="1:7" x14ac:dyDescent="0.2">
      <c r="F60" s="80"/>
    </row>
    <row r="61" spans="1:7" x14ac:dyDescent="0.2">
      <c r="A61" s="20" t="s">
        <v>66</v>
      </c>
      <c r="B61" s="91">
        <f>B43/27</f>
        <v>150</v>
      </c>
      <c r="F61" s="80"/>
    </row>
    <row r="62" spans="1:7" x14ac:dyDescent="0.2">
      <c r="F62" s="80"/>
    </row>
    <row r="63" spans="1:7" x14ac:dyDescent="0.2">
      <c r="F63" s="80"/>
    </row>
    <row r="64" spans="1:7" x14ac:dyDescent="0.2">
      <c r="F64" s="80"/>
    </row>
    <row r="65" spans="6:6" x14ac:dyDescent="0.2">
      <c r="F65" s="80"/>
    </row>
    <row r="66" spans="6:6" x14ac:dyDescent="0.2">
      <c r="F66" s="80"/>
    </row>
    <row r="67" spans="6:6" x14ac:dyDescent="0.2">
      <c r="F67" s="80"/>
    </row>
  </sheetData>
  <mergeCells count="1">
    <mergeCell ref="E4:F4"/>
  </mergeCells>
  <pageMargins left="0.25" right="0.25" top="1" bottom="1" header="0.5" footer="0.5"/>
  <pageSetup paperSize="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13" sqref="C13"/>
    </sheetView>
  </sheetViews>
  <sheetFormatPr defaultRowHeight="12.75" x14ac:dyDescent="0.2"/>
  <cols>
    <col min="1" max="1" width="22.7109375" style="20" customWidth="1"/>
    <col min="2" max="2" width="12.42578125" style="20" customWidth="1"/>
    <col min="3" max="3" width="12.28515625" style="20" customWidth="1"/>
    <col min="4" max="4" width="10.7109375" style="20" customWidth="1"/>
    <col min="5" max="5" width="12" style="20" bestFit="1" customWidth="1"/>
    <col min="6" max="6" width="10.7109375" style="21" customWidth="1"/>
    <col min="7" max="7" width="12" style="20" bestFit="1" customWidth="1"/>
    <col min="8" max="8" width="10.7109375" style="20" customWidth="1"/>
    <col min="9" max="9" width="12.7109375" style="20" bestFit="1" customWidth="1"/>
    <col min="10" max="10" width="10.7109375" style="20" customWidth="1"/>
    <col min="11" max="11" width="13" style="20" customWidth="1"/>
    <col min="12" max="13" width="10.7109375" style="20" customWidth="1"/>
    <col min="14" max="16384" width="9.140625" style="20"/>
  </cols>
  <sheetData>
    <row r="1" spans="1:13" ht="22.5" x14ac:dyDescent="0.3">
      <c r="A1" s="19" t="str">
        <f>'S T Current'!$A$1</f>
        <v>2017 Income Tax Withholding Payment Tables - SINGLE persons</v>
      </c>
    </row>
    <row r="2" spans="1:13" ht="22.5" x14ac:dyDescent="0.3">
      <c r="A2" s="19"/>
    </row>
    <row r="3" spans="1:13" ht="13.5" thickBot="1" x14ac:dyDescent="0.25"/>
    <row r="4" spans="1:13" ht="14.25" x14ac:dyDescent="0.3">
      <c r="A4" s="22" t="s">
        <v>27</v>
      </c>
      <c r="B4" s="23"/>
      <c r="C4" s="24" t="s">
        <v>28</v>
      </c>
      <c r="D4" s="24"/>
      <c r="E4" s="125" t="s">
        <v>29</v>
      </c>
      <c r="F4" s="126"/>
      <c r="H4" s="25" t="s">
        <v>30</v>
      </c>
      <c r="I4" s="26"/>
      <c r="J4" s="26"/>
      <c r="K4" s="26"/>
      <c r="L4" s="26"/>
      <c r="M4" s="27"/>
    </row>
    <row r="5" spans="1:13" x14ac:dyDescent="0.2">
      <c r="A5" s="28">
        <f>B54</f>
        <v>88.461538461538467</v>
      </c>
      <c r="B5" s="29">
        <f>C54</f>
        <v>447.11538461538464</v>
      </c>
      <c r="C5" s="29">
        <f>D54</f>
        <v>0</v>
      </c>
      <c r="D5" s="30"/>
      <c r="E5" s="31">
        <v>0.1</v>
      </c>
      <c r="F5" s="32">
        <f t="shared" ref="F5:F10" si="0">A5</f>
        <v>88.461538461538467</v>
      </c>
      <c r="H5" s="33"/>
      <c r="I5" s="34" t="s">
        <v>31</v>
      </c>
      <c r="J5" s="35" t="s">
        <v>32</v>
      </c>
      <c r="K5" s="36"/>
      <c r="L5" s="35" t="s">
        <v>33</v>
      </c>
      <c r="M5" s="37" t="s">
        <v>32</v>
      </c>
    </row>
    <row r="6" spans="1:13" x14ac:dyDescent="0.2">
      <c r="A6" s="38">
        <f t="shared" ref="A6:C10" si="1">B55</f>
        <v>447.11538461538464</v>
      </c>
      <c r="B6" s="39">
        <f t="shared" si="1"/>
        <v>1548.0769230769231</v>
      </c>
      <c r="C6" s="39">
        <f t="shared" si="1"/>
        <v>35.865384615384613</v>
      </c>
      <c r="D6" s="40" t="s">
        <v>34</v>
      </c>
      <c r="E6" s="41">
        <v>0.15</v>
      </c>
      <c r="F6" s="42">
        <f t="shared" si="0"/>
        <v>447.11538461538464</v>
      </c>
      <c r="H6" s="43">
        <v>1</v>
      </c>
      <c r="I6" s="20" t="s">
        <v>81</v>
      </c>
      <c r="J6" s="95">
        <f>'Estimated Net Pay Calculation'!$H$33*-1</f>
        <v>150</v>
      </c>
      <c r="K6" s="36"/>
      <c r="L6" s="20" t="s">
        <v>36</v>
      </c>
      <c r="M6" s="96">
        <f>'Estimated Net Pay Calculation'!$H$29*-1</f>
        <v>90</v>
      </c>
    </row>
    <row r="7" spans="1:13" x14ac:dyDescent="0.2">
      <c r="A7" s="28">
        <f t="shared" si="1"/>
        <v>1548.0769230769231</v>
      </c>
      <c r="B7" s="29">
        <f t="shared" si="1"/>
        <v>3623.0769230769229</v>
      </c>
      <c r="C7" s="29">
        <f t="shared" si="1"/>
        <v>201.00961538461539</v>
      </c>
      <c r="D7" s="44" t="s">
        <v>34</v>
      </c>
      <c r="E7" s="31">
        <v>0.25</v>
      </c>
      <c r="F7" s="32">
        <f t="shared" si="0"/>
        <v>1548.0769230769231</v>
      </c>
      <c r="H7" s="43">
        <v>2</v>
      </c>
      <c r="I7" s="45" t="s">
        <v>80</v>
      </c>
      <c r="J7" s="95">
        <f>'Estimated Net Pay Calculation'!$H$31*-1</f>
        <v>0</v>
      </c>
      <c r="K7" s="36"/>
      <c r="L7" s="20" t="s">
        <v>38</v>
      </c>
      <c r="M7" s="96">
        <f>'Estimated Net Pay Calculation'!$H$30*-1</f>
        <v>50</v>
      </c>
    </row>
    <row r="8" spans="1:13" x14ac:dyDescent="0.2">
      <c r="A8" s="38">
        <f t="shared" si="1"/>
        <v>3623.0769230769229</v>
      </c>
      <c r="B8" s="39">
        <f t="shared" si="1"/>
        <v>7459.6153846153848</v>
      </c>
      <c r="C8" s="39">
        <f t="shared" si="1"/>
        <v>719.75961538461536</v>
      </c>
      <c r="D8" s="40" t="s">
        <v>34</v>
      </c>
      <c r="E8" s="41">
        <v>0.28000000000000003</v>
      </c>
      <c r="F8" s="42">
        <f t="shared" si="0"/>
        <v>3623.0769230769229</v>
      </c>
      <c r="H8" s="43">
        <v>3</v>
      </c>
      <c r="I8" s="20" t="s">
        <v>97</v>
      </c>
      <c r="J8" s="95">
        <f>'Estimated Net Pay Calculation'!$H$32*-1</f>
        <v>0</v>
      </c>
      <c r="K8" s="36"/>
      <c r="L8" s="45"/>
      <c r="M8" s="46"/>
    </row>
    <row r="9" spans="1:13" x14ac:dyDescent="0.2">
      <c r="A9" s="28">
        <f t="shared" si="1"/>
        <v>7459.6153846153848</v>
      </c>
      <c r="B9" s="29">
        <f t="shared" si="1"/>
        <v>16115.384615384615</v>
      </c>
      <c r="C9" s="29">
        <f t="shared" si="1"/>
        <v>1793.9903846153845</v>
      </c>
      <c r="D9" s="47" t="s">
        <v>34</v>
      </c>
      <c r="E9" s="48">
        <v>0.33</v>
      </c>
      <c r="F9" s="49">
        <f t="shared" si="0"/>
        <v>7459.6153846153848</v>
      </c>
      <c r="H9" s="43">
        <v>4</v>
      </c>
      <c r="J9" s="45"/>
      <c r="K9" s="36"/>
      <c r="L9" s="45"/>
      <c r="M9" s="46"/>
    </row>
    <row r="10" spans="1:13" ht="13.5" thickBot="1" x14ac:dyDescent="0.25">
      <c r="A10" s="50">
        <f t="shared" si="1"/>
        <v>16115.384615384615</v>
      </c>
      <c r="B10" s="51">
        <f t="shared" si="1"/>
        <v>16180.76923076923</v>
      </c>
      <c r="C10" s="51">
        <f t="shared" si="1"/>
        <v>4650.3942307692305</v>
      </c>
      <c r="D10" s="52" t="s">
        <v>34</v>
      </c>
      <c r="E10" s="53">
        <v>0.35</v>
      </c>
      <c r="F10" s="54">
        <f t="shared" si="0"/>
        <v>16115.384615384615</v>
      </c>
      <c r="H10" s="43">
        <v>5</v>
      </c>
      <c r="J10" s="45"/>
      <c r="K10" s="36"/>
      <c r="L10" s="45"/>
      <c r="M10" s="46"/>
    </row>
    <row r="11" spans="1:13" x14ac:dyDescent="0.2">
      <c r="H11" s="43">
        <v>6</v>
      </c>
      <c r="J11" s="45"/>
      <c r="K11" s="36"/>
      <c r="L11" s="45"/>
      <c r="M11" s="46"/>
    </row>
    <row r="12" spans="1:13" ht="13.5" thickBot="1" x14ac:dyDescent="0.25">
      <c r="C12" s="20">
        <v>26.1</v>
      </c>
      <c r="D12" s="20" t="s">
        <v>39</v>
      </c>
      <c r="H12" s="43">
        <v>7</v>
      </c>
      <c r="J12" s="55"/>
      <c r="K12" s="36"/>
      <c r="L12" s="45"/>
      <c r="M12" s="46"/>
    </row>
    <row r="13" spans="1:13" ht="13.5" thickBot="1" x14ac:dyDescent="0.25">
      <c r="A13" s="56" t="s">
        <v>40</v>
      </c>
      <c r="B13" s="57">
        <v>31000</v>
      </c>
      <c r="C13" s="21">
        <f>IF('Estimated Net Pay Calculation'!$B$22="S",'Estimated Net Pay Calculation'!$H$27,0)</f>
        <v>0</v>
      </c>
      <c r="D13" s="20" t="s">
        <v>41</v>
      </c>
      <c r="H13" s="58" t="s">
        <v>42</v>
      </c>
      <c r="I13" s="59"/>
      <c r="J13" s="59">
        <f>SUM(J6:J12)</f>
        <v>150</v>
      </c>
      <c r="K13" s="59"/>
      <c r="L13" s="59"/>
      <c r="M13" s="60">
        <f>SUM(M6:M12)</f>
        <v>140</v>
      </c>
    </row>
    <row r="14" spans="1:13" ht="3" customHeight="1" thickBot="1" x14ac:dyDescent="0.25">
      <c r="A14" s="56"/>
      <c r="B14" s="61"/>
    </row>
    <row r="15" spans="1:13" ht="13.5" thickBot="1" x14ac:dyDescent="0.25">
      <c r="A15" s="56" t="s">
        <v>43</v>
      </c>
      <c r="B15" s="97">
        <f>'Estimated Net Pay Calculation'!$B$23</f>
        <v>1</v>
      </c>
      <c r="C15" s="21">
        <f>-(B44*B15)</f>
        <v>-155.76923076923077</v>
      </c>
      <c r="D15" s="20" t="s">
        <v>44</v>
      </c>
    </row>
    <row r="16" spans="1:13" ht="13.5" thickBot="1" x14ac:dyDescent="0.25">
      <c r="A16" s="20" t="s">
        <v>45</v>
      </c>
      <c r="B16" s="62">
        <f>J13+M13</f>
        <v>290</v>
      </c>
      <c r="C16" s="63">
        <f>-B16</f>
        <v>-290</v>
      </c>
    </row>
    <row r="17" spans="1:13" ht="13.5" thickBot="1" x14ac:dyDescent="0.25">
      <c r="A17" s="20" t="s">
        <v>46</v>
      </c>
      <c r="B17" s="99">
        <f>'Estimated Net Pay Calculation'!$H$34*-1</f>
        <v>70</v>
      </c>
      <c r="C17" s="64">
        <f>SUM(C13:C16)</f>
        <v>-445.76923076923077</v>
      </c>
      <c r="D17" s="65" t="s">
        <v>47</v>
      </c>
    </row>
    <row r="18" spans="1:13" x14ac:dyDescent="0.2">
      <c r="A18" s="66" t="s">
        <v>48</v>
      </c>
      <c r="B18" s="67" t="s">
        <v>49</v>
      </c>
    </row>
    <row r="19" spans="1:13" x14ac:dyDescent="0.2">
      <c r="C19" s="68" t="s">
        <v>50</v>
      </c>
      <c r="E19" s="68" t="s">
        <v>50</v>
      </c>
      <c r="G19" s="68" t="s">
        <v>50</v>
      </c>
      <c r="I19" s="68" t="s">
        <v>50</v>
      </c>
      <c r="K19" s="68" t="s">
        <v>50</v>
      </c>
      <c r="L19" s="36"/>
      <c r="M19" s="36" t="s">
        <v>51</v>
      </c>
    </row>
    <row r="20" spans="1:13" x14ac:dyDescent="0.2">
      <c r="C20" s="36" t="s">
        <v>105</v>
      </c>
      <c r="D20" s="36"/>
      <c r="E20" s="36" t="s">
        <v>106</v>
      </c>
      <c r="F20" s="69"/>
      <c r="G20" s="36" t="s">
        <v>109</v>
      </c>
      <c r="I20" s="36" t="s">
        <v>107</v>
      </c>
      <c r="K20" s="70" t="s">
        <v>108</v>
      </c>
      <c r="L20" s="70"/>
      <c r="M20" s="70">
        <v>14042</v>
      </c>
    </row>
    <row r="21" spans="1:13" ht="13.5" thickBot="1" x14ac:dyDescent="0.25">
      <c r="C21" s="71"/>
      <c r="D21" s="71"/>
      <c r="E21" s="71"/>
      <c r="F21" s="72"/>
    </row>
    <row r="22" spans="1:13" ht="15.75" thickBot="1" x14ac:dyDescent="0.4">
      <c r="B22" s="56" t="s">
        <v>52</v>
      </c>
      <c r="C22" s="73">
        <f>IF(AND($C$17&gt;A5,$C$17&lt;B5),$C$17,0)</f>
        <v>0</v>
      </c>
      <c r="D22" s="74"/>
      <c r="E22" s="73">
        <f>IF(AND($C$17&gt;A6,$C$17&lt;B6),$C$17,0)</f>
        <v>0</v>
      </c>
      <c r="F22" s="75"/>
      <c r="G22" s="73">
        <f>IF(AND($C$17&gt;A7,$C$17&lt;B7),$C$17,0)</f>
        <v>0</v>
      </c>
      <c r="H22" s="21"/>
      <c r="I22" s="73">
        <f>IF(AND($C$17&gt;A8,$C$17&lt;B8),$C$17,0)</f>
        <v>0</v>
      </c>
      <c r="J22" s="21"/>
      <c r="K22" s="73">
        <f>IF(AND($C$17&gt;A9,$C$17&lt;B9),$C$17,0)</f>
        <v>0</v>
      </c>
      <c r="L22" s="76"/>
      <c r="M22" s="73">
        <f>IF(($C$17&gt;A10),$C$17,0)</f>
        <v>0</v>
      </c>
    </row>
    <row r="23" spans="1:13" ht="24" customHeight="1" x14ac:dyDescent="0.2">
      <c r="B23" s="56" t="s">
        <v>53</v>
      </c>
      <c r="C23" s="77">
        <f>A5</f>
        <v>88.461538461538467</v>
      </c>
      <c r="D23" s="78"/>
      <c r="E23" s="77">
        <f>B5</f>
        <v>447.11538461538464</v>
      </c>
      <c r="F23" s="78"/>
      <c r="G23" s="79">
        <f>A7</f>
        <v>1548.0769230769231</v>
      </c>
      <c r="H23" s="21"/>
      <c r="I23" s="79">
        <f>A8</f>
        <v>3623.0769230769229</v>
      </c>
      <c r="J23" s="21"/>
      <c r="K23" s="79">
        <f>A9</f>
        <v>7459.6153846153848</v>
      </c>
      <c r="L23" s="80"/>
      <c r="M23" s="79">
        <f>A10</f>
        <v>16115.384615384615</v>
      </c>
    </row>
    <row r="24" spans="1:13" ht="19.5" customHeight="1" x14ac:dyDescent="0.2">
      <c r="B24" s="56" t="s">
        <v>54</v>
      </c>
      <c r="C24" s="81">
        <f>C22-C23</f>
        <v>-88.461538461538467</v>
      </c>
      <c r="D24" s="81"/>
      <c r="E24" s="81">
        <f>E22-E23</f>
        <v>-447.11538461538464</v>
      </c>
      <c r="F24" s="78"/>
      <c r="G24" s="81">
        <f>G22-G23</f>
        <v>-1548.0769230769231</v>
      </c>
      <c r="I24" s="81">
        <f>I22-I23</f>
        <v>-3623.0769230769229</v>
      </c>
      <c r="K24" s="81">
        <f>K22-K23</f>
        <v>-7459.6153846153848</v>
      </c>
      <c r="L24" s="81"/>
      <c r="M24" s="81">
        <f>M22-M23</f>
        <v>-16115.384615384615</v>
      </c>
    </row>
    <row r="25" spans="1:13" x14ac:dyDescent="0.2">
      <c r="B25" s="56" t="s">
        <v>55</v>
      </c>
      <c r="C25" s="82">
        <f>C24*E5</f>
        <v>-8.8461538461538467</v>
      </c>
      <c r="D25" s="81"/>
      <c r="E25" s="82">
        <f>E24*E6</f>
        <v>-67.067307692307693</v>
      </c>
      <c r="F25" s="78"/>
      <c r="G25" s="82">
        <f>G24*E7</f>
        <v>-387.01923076923077</v>
      </c>
      <c r="I25" s="82">
        <f>I24*E8</f>
        <v>-1014.4615384615385</v>
      </c>
      <c r="K25" s="82">
        <f>K24*E9</f>
        <v>-2461.6730769230771</v>
      </c>
      <c r="L25" s="78"/>
      <c r="M25" s="82">
        <f>M24*E10</f>
        <v>-5640.3846153846152</v>
      </c>
    </row>
    <row r="26" spans="1:13" x14ac:dyDescent="0.2">
      <c r="C26" s="21"/>
      <c r="D26" s="21"/>
      <c r="F26" s="80"/>
    </row>
    <row r="27" spans="1:13" x14ac:dyDescent="0.2">
      <c r="B27" s="56" t="s">
        <v>56</v>
      </c>
      <c r="C27" s="21">
        <v>0</v>
      </c>
      <c r="D27" s="21"/>
      <c r="E27" s="83">
        <f>C6</f>
        <v>35.865384615384613</v>
      </c>
      <c r="F27" s="80"/>
      <c r="G27" s="83">
        <f>C7</f>
        <v>201.00961538461539</v>
      </c>
      <c r="H27" s="21"/>
      <c r="I27" s="83">
        <f>C8</f>
        <v>719.75961538461536</v>
      </c>
      <c r="J27" s="21"/>
      <c r="K27" s="83">
        <f>C9</f>
        <v>1793.9903846153845</v>
      </c>
      <c r="L27" s="21"/>
      <c r="M27" s="83">
        <f>C10</f>
        <v>4650.3942307692305</v>
      </c>
    </row>
    <row r="28" spans="1:13" ht="13.5" thickBot="1" x14ac:dyDescent="0.25">
      <c r="B28" s="56" t="str">
        <f>B25</f>
        <v>W/H on excess</v>
      </c>
      <c r="C28" s="80">
        <f>C25</f>
        <v>-8.8461538461538467</v>
      </c>
      <c r="D28" s="21"/>
      <c r="E28" s="21">
        <f>E25</f>
        <v>-67.067307692307693</v>
      </c>
      <c r="F28" s="80"/>
      <c r="G28" s="21">
        <f>G25</f>
        <v>-387.01923076923077</v>
      </c>
      <c r="I28" s="21">
        <f>I25</f>
        <v>-1014.4615384615385</v>
      </c>
      <c r="K28" s="21">
        <f>K25</f>
        <v>-2461.6730769230771</v>
      </c>
      <c r="L28" s="80"/>
      <c r="M28" s="21">
        <f>M25</f>
        <v>-5640.3846153846152</v>
      </c>
    </row>
    <row r="29" spans="1:13" ht="13.5" thickBot="1" x14ac:dyDescent="0.25">
      <c r="B29" s="56" t="s">
        <v>57</v>
      </c>
      <c r="C29" s="84">
        <f>SUM(C27:C28)</f>
        <v>-8.8461538461538467</v>
      </c>
      <c r="D29" s="85"/>
      <c r="E29" s="86">
        <f>SUM(E27:E28)</f>
        <v>-31.20192307692308</v>
      </c>
      <c r="F29" s="85"/>
      <c r="G29" s="86">
        <f>SUM(G27:G28)</f>
        <v>-186.00961538461539</v>
      </c>
      <c r="I29" s="86">
        <f>SUM(I27:I28)</f>
        <v>-294.70192307692309</v>
      </c>
      <c r="K29" s="86">
        <f>SUM(K27:K28)</f>
        <v>-667.68269230769261</v>
      </c>
      <c r="L29" s="87"/>
      <c r="M29" s="86">
        <f>SUM(M27:M28)</f>
        <v>-989.99038461538476</v>
      </c>
    </row>
    <row r="30" spans="1:13" x14ac:dyDescent="0.2">
      <c r="B30" s="56"/>
      <c r="F30" s="80"/>
    </row>
    <row r="31" spans="1:13" x14ac:dyDescent="0.2">
      <c r="B31" s="56" t="s">
        <v>58</v>
      </c>
      <c r="C31" s="63">
        <f>IF(C22=0, ,$C$13)</f>
        <v>0</v>
      </c>
      <c r="D31" s="63"/>
      <c r="E31" s="63">
        <f>IF(E22=0, ,$C$13)</f>
        <v>0</v>
      </c>
      <c r="F31" s="80"/>
      <c r="G31" s="63">
        <f>IF(G22=0, ,$C$13)</f>
        <v>0</v>
      </c>
      <c r="I31" s="63">
        <f>IF(I22=0, ,$C$13)</f>
        <v>0</v>
      </c>
      <c r="K31" s="63">
        <f>IF(K22=0, ,$C$13)</f>
        <v>0</v>
      </c>
      <c r="L31" s="63"/>
      <c r="M31" s="63">
        <f>IF(M22=0, ,$C$13)</f>
        <v>0</v>
      </c>
    </row>
    <row r="32" spans="1:13" x14ac:dyDescent="0.2">
      <c r="B32" s="56" t="s">
        <v>59</v>
      </c>
      <c r="C32" s="63">
        <f>IF(C22=0,0,-C29)</f>
        <v>0</v>
      </c>
      <c r="D32" s="63"/>
      <c r="E32" s="63">
        <f>IF(E22=0,0,-E29)</f>
        <v>0</v>
      </c>
      <c r="F32" s="88"/>
      <c r="G32" s="63">
        <f>IF(G22=0,0,-G29)</f>
        <v>0</v>
      </c>
      <c r="I32" s="63">
        <f>IF(I22=0,0,-I29)</f>
        <v>0</v>
      </c>
      <c r="K32" s="63">
        <f>IF(K22=0,0,-K29)</f>
        <v>0</v>
      </c>
      <c r="L32" s="63"/>
      <c r="M32" s="63">
        <f>IF(M22=0,0,-M29)</f>
        <v>0</v>
      </c>
    </row>
    <row r="33" spans="1:13" x14ac:dyDescent="0.2">
      <c r="B33" s="56" t="s">
        <v>60</v>
      </c>
      <c r="C33" s="63">
        <f>IF(OR($B$18="N",C22=0),0,($C$13-$M$13)*0.0765*-1)</f>
        <v>0</v>
      </c>
      <c r="D33" s="63"/>
      <c r="E33" s="63">
        <f>IF(OR($B$18="N",E22=0),0,($C$13-$M$13)*0.0765*-1)</f>
        <v>0</v>
      </c>
      <c r="F33" s="88"/>
      <c r="G33" s="63">
        <f>IF(OR($B$18="N",G22=0),0,($C$13-$M$13)*0.0765*-1)</f>
        <v>0</v>
      </c>
      <c r="I33" s="63">
        <f>IF(OR($B$18="N",I22=0),0,($C$13-$M$13)*0.0765*-1)</f>
        <v>0</v>
      </c>
      <c r="K33" s="63">
        <f>IF(OR($B$18="N",K22=0),0,($C$13-$M$13)*0.0765*-1)</f>
        <v>0</v>
      </c>
      <c r="L33" s="63"/>
      <c r="M33" s="63">
        <f>IF(OR($B$18="N",M22=0),0,($C$13-$M$13)*0.0765*-1)</f>
        <v>0</v>
      </c>
    </row>
    <row r="34" spans="1:13" ht="13.5" thickBot="1" x14ac:dyDescent="0.25">
      <c r="B34" s="56" t="s">
        <v>15</v>
      </c>
      <c r="C34" s="63">
        <f>IF(C31&gt;0,-$B$16-$B$17,0)</f>
        <v>0</v>
      </c>
      <c r="D34" s="63"/>
      <c r="E34" s="63">
        <f>IF(E31&gt;0,-$B$16-$B$17,0)</f>
        <v>0</v>
      </c>
      <c r="F34" s="88"/>
      <c r="G34" s="63">
        <f>IF(G31&gt;0,-$B$16-$B$17,0)</f>
        <v>0</v>
      </c>
      <c r="I34" s="63">
        <f>IF(I31&gt;0,-$B$16-$B$17,0)</f>
        <v>0</v>
      </c>
      <c r="K34" s="63">
        <f>IF(K31&gt;0,-$B$16-$B$17,0)</f>
        <v>0</v>
      </c>
      <c r="L34" s="63"/>
      <c r="M34" s="63">
        <f>IF(M31&gt;0,-$B$16-$B$17,0)</f>
        <v>0</v>
      </c>
    </row>
    <row r="35" spans="1:13" ht="13.5" thickBot="1" x14ac:dyDescent="0.25">
      <c r="B35" s="56" t="s">
        <v>13</v>
      </c>
      <c r="C35" s="86">
        <f>SUM(C31:C34)</f>
        <v>0</v>
      </c>
      <c r="D35" s="89"/>
      <c r="E35" s="86">
        <f>SUM(E31:E34)</f>
        <v>0</v>
      </c>
      <c r="F35" s="89"/>
      <c r="G35" s="86">
        <f>SUM(G31:G34)</f>
        <v>0</v>
      </c>
      <c r="I35" s="86">
        <f>SUM(I31:I34)</f>
        <v>0</v>
      </c>
      <c r="K35" s="90">
        <f>SUM(K31:K34)</f>
        <v>0</v>
      </c>
      <c r="L35" s="87"/>
      <c r="M35" s="86">
        <f>SUM(M31:M34)</f>
        <v>0</v>
      </c>
    </row>
    <row r="36" spans="1:13" x14ac:dyDescent="0.2">
      <c r="A36" s="56"/>
      <c r="F36" s="80"/>
    </row>
    <row r="37" spans="1:13" x14ac:dyDescent="0.2">
      <c r="F37" s="80"/>
    </row>
    <row r="38" spans="1:13" x14ac:dyDescent="0.2">
      <c r="F38" s="80"/>
    </row>
    <row r="39" spans="1:13" x14ac:dyDescent="0.2">
      <c r="F39" s="80"/>
    </row>
    <row r="40" spans="1:13" x14ac:dyDescent="0.2">
      <c r="A40" s="20" t="s">
        <v>61</v>
      </c>
      <c r="B40" s="91">
        <v>90</v>
      </c>
      <c r="C40" s="63"/>
      <c r="D40" s="63"/>
      <c r="F40" s="88"/>
    </row>
    <row r="41" spans="1:13" x14ac:dyDescent="0.2">
      <c r="A41" s="20" t="s">
        <v>62</v>
      </c>
      <c r="B41" s="91">
        <v>25</v>
      </c>
      <c r="C41" s="63"/>
      <c r="D41" s="63"/>
      <c r="F41" s="88"/>
    </row>
    <row r="42" spans="1:13" x14ac:dyDescent="0.2">
      <c r="B42" s="91"/>
      <c r="C42" s="63"/>
      <c r="D42" s="63"/>
      <c r="F42" s="88"/>
    </row>
    <row r="43" spans="1:13" x14ac:dyDescent="0.2">
      <c r="A43" s="20" t="s">
        <v>63</v>
      </c>
      <c r="B43" s="91">
        <f>'S T Current'!$B$43</f>
        <v>4050</v>
      </c>
      <c r="F43" s="80"/>
    </row>
    <row r="44" spans="1:13" x14ac:dyDescent="0.2">
      <c r="A44" s="20" t="s">
        <v>64</v>
      </c>
      <c r="B44" s="92">
        <f>B43/26</f>
        <v>155.76923076923077</v>
      </c>
      <c r="F44" s="80"/>
    </row>
    <row r="45" spans="1:13" x14ac:dyDescent="0.2">
      <c r="B45" s="92"/>
      <c r="F45" s="80"/>
    </row>
    <row r="46" spans="1:13" x14ac:dyDescent="0.2">
      <c r="A46" s="20" t="s">
        <v>65</v>
      </c>
      <c r="B46" s="91">
        <f>'S T Current'!B46</f>
        <v>2300</v>
      </c>
      <c r="C46" s="91">
        <f>'S T Current'!C46</f>
        <v>11625</v>
      </c>
      <c r="D46" s="91">
        <f>'S T Current'!D46</f>
        <v>0</v>
      </c>
      <c r="E46" s="20" t="s">
        <v>34</v>
      </c>
      <c r="F46" s="93">
        <v>0.1</v>
      </c>
      <c r="G46" s="91">
        <f>B46:B46</f>
        <v>2300</v>
      </c>
    </row>
    <row r="47" spans="1:13" x14ac:dyDescent="0.2">
      <c r="B47" s="91">
        <f>'S T Current'!B47</f>
        <v>11625</v>
      </c>
      <c r="C47" s="91">
        <f>'S T Current'!C47</f>
        <v>40250</v>
      </c>
      <c r="D47" s="91">
        <f>'S T Current'!D47</f>
        <v>932.5</v>
      </c>
      <c r="E47" s="20" t="s">
        <v>34</v>
      </c>
      <c r="F47" s="94">
        <v>0.15</v>
      </c>
      <c r="G47" s="91">
        <f>B47</f>
        <v>11625</v>
      </c>
    </row>
    <row r="48" spans="1:13" x14ac:dyDescent="0.2">
      <c r="B48" s="91">
        <f>'S T Current'!B48</f>
        <v>40250</v>
      </c>
      <c r="C48" s="91">
        <f>'S T Current'!C48</f>
        <v>94200</v>
      </c>
      <c r="D48" s="91">
        <f>'S T Current'!D48</f>
        <v>5226.25</v>
      </c>
      <c r="E48" s="20" t="s">
        <v>34</v>
      </c>
      <c r="F48" s="94">
        <v>0.25</v>
      </c>
      <c r="G48" s="91">
        <f>B48</f>
        <v>40250</v>
      </c>
    </row>
    <row r="49" spans="1:7" x14ac:dyDescent="0.2">
      <c r="B49" s="91">
        <f>'S T Current'!B49</f>
        <v>94200</v>
      </c>
      <c r="C49" s="91">
        <f>'S T Current'!C49</f>
        <v>193950</v>
      </c>
      <c r="D49" s="91">
        <f>'S T Current'!D49</f>
        <v>18713.75</v>
      </c>
      <c r="E49" s="20" t="s">
        <v>34</v>
      </c>
      <c r="F49" s="94">
        <v>0.28000000000000003</v>
      </c>
      <c r="G49" s="91">
        <f>B49</f>
        <v>94200</v>
      </c>
    </row>
    <row r="50" spans="1:7" x14ac:dyDescent="0.2">
      <c r="B50" s="91">
        <f>'S T Current'!B50</f>
        <v>193950</v>
      </c>
      <c r="C50" s="91">
        <f>'S T Current'!C50</f>
        <v>419000</v>
      </c>
      <c r="D50" s="91">
        <f>'S T Current'!D50</f>
        <v>46643.75</v>
      </c>
      <c r="E50" s="20" t="s">
        <v>34</v>
      </c>
      <c r="F50" s="94">
        <v>0.33</v>
      </c>
      <c r="G50" s="91">
        <f>B50</f>
        <v>193950</v>
      </c>
    </row>
    <row r="51" spans="1:7" x14ac:dyDescent="0.2">
      <c r="B51" s="91">
        <f>'S T Current'!B51</f>
        <v>419000</v>
      </c>
      <c r="C51" s="91">
        <f>'S T Current'!C51</f>
        <v>420700</v>
      </c>
      <c r="D51" s="91">
        <f>'S T Current'!D51</f>
        <v>120910.25</v>
      </c>
      <c r="E51" s="20" t="s">
        <v>34</v>
      </c>
      <c r="F51" s="94">
        <v>0.35</v>
      </c>
      <c r="G51" s="91">
        <f>B51</f>
        <v>419000</v>
      </c>
    </row>
    <row r="52" spans="1:7" x14ac:dyDescent="0.2">
      <c r="F52" s="94"/>
    </row>
    <row r="53" spans="1:7" x14ac:dyDescent="0.2">
      <c r="A53" s="20" t="s">
        <v>104</v>
      </c>
      <c r="F53" s="80"/>
    </row>
    <row r="54" spans="1:7" x14ac:dyDescent="0.2">
      <c r="B54" s="91">
        <f>'S T Current'!B54</f>
        <v>88.461538461538467</v>
      </c>
      <c r="C54" s="91">
        <f>'S T Current'!C54</f>
        <v>447.11538461538464</v>
      </c>
      <c r="D54" s="91">
        <f>'S T Current'!D54</f>
        <v>0</v>
      </c>
      <c r="E54" s="20" t="s">
        <v>34</v>
      </c>
      <c r="F54" s="93">
        <v>0.1</v>
      </c>
      <c r="G54" s="91">
        <f>G46/26</f>
        <v>88.461538461538467</v>
      </c>
    </row>
    <row r="55" spans="1:7" x14ac:dyDescent="0.2">
      <c r="B55" s="91">
        <f>'S T Current'!B55</f>
        <v>447.11538461538464</v>
      </c>
      <c r="C55" s="91">
        <f>'S T Current'!C55</f>
        <v>1548.0769230769231</v>
      </c>
      <c r="D55" s="91">
        <f>'S T Current'!D55</f>
        <v>35.865384615384613</v>
      </c>
      <c r="E55" s="20" t="s">
        <v>34</v>
      </c>
      <c r="F55" s="94">
        <v>0.15</v>
      </c>
      <c r="G55" s="91">
        <f t="shared" ref="G55:G59" si="2">G47/26</f>
        <v>447.11538461538464</v>
      </c>
    </row>
    <row r="56" spans="1:7" x14ac:dyDescent="0.2">
      <c r="B56" s="91">
        <f>'S T Current'!B56</f>
        <v>1548.0769230769231</v>
      </c>
      <c r="C56" s="91">
        <f>'S T Current'!C56</f>
        <v>3623.0769230769229</v>
      </c>
      <c r="D56" s="91">
        <f>'S T Current'!D56</f>
        <v>201.00961538461539</v>
      </c>
      <c r="E56" s="20" t="s">
        <v>34</v>
      </c>
      <c r="F56" s="94">
        <v>0.25</v>
      </c>
      <c r="G56" s="91">
        <f t="shared" si="2"/>
        <v>1548.0769230769231</v>
      </c>
    </row>
    <row r="57" spans="1:7" x14ac:dyDescent="0.2">
      <c r="B57" s="91">
        <f>'S T Current'!B57</f>
        <v>3623.0769230769229</v>
      </c>
      <c r="C57" s="91">
        <f>'S T Current'!C57</f>
        <v>7459.6153846153848</v>
      </c>
      <c r="D57" s="91">
        <f>'S T Current'!D57</f>
        <v>719.75961538461536</v>
      </c>
      <c r="E57" s="20" t="s">
        <v>34</v>
      </c>
      <c r="F57" s="94">
        <v>0.28000000000000003</v>
      </c>
      <c r="G57" s="91">
        <f t="shared" si="2"/>
        <v>3623.0769230769229</v>
      </c>
    </row>
    <row r="58" spans="1:7" x14ac:dyDescent="0.2">
      <c r="B58" s="91">
        <f>'S T Current'!B58</f>
        <v>7459.6153846153848</v>
      </c>
      <c r="C58" s="91">
        <f>'S T Current'!C58</f>
        <v>16115.384615384615</v>
      </c>
      <c r="D58" s="91">
        <f>'S T Current'!D58</f>
        <v>1793.9903846153845</v>
      </c>
      <c r="E58" s="20" t="s">
        <v>34</v>
      </c>
      <c r="F58" s="94">
        <v>0.33</v>
      </c>
      <c r="G58" s="91">
        <f t="shared" si="2"/>
        <v>7459.6153846153848</v>
      </c>
    </row>
    <row r="59" spans="1:7" x14ac:dyDescent="0.2">
      <c r="B59" s="91">
        <f>'S T Current'!B59</f>
        <v>16115.384615384615</v>
      </c>
      <c r="C59" s="91">
        <f>'S T Current'!C59</f>
        <v>16180.76923076923</v>
      </c>
      <c r="D59" s="91">
        <f>'S T Current'!D59</f>
        <v>4650.3942307692305</v>
      </c>
      <c r="E59" s="20" t="s">
        <v>34</v>
      </c>
      <c r="F59" s="94">
        <v>0.35</v>
      </c>
      <c r="G59" s="91">
        <f t="shared" si="2"/>
        <v>16115.384615384615</v>
      </c>
    </row>
    <row r="60" spans="1:7" x14ac:dyDescent="0.2">
      <c r="F60" s="80"/>
    </row>
    <row r="61" spans="1:7" x14ac:dyDescent="0.2">
      <c r="A61" s="20" t="s">
        <v>66</v>
      </c>
      <c r="B61" s="91">
        <f>B43/27</f>
        <v>150</v>
      </c>
      <c r="F61" s="80"/>
    </row>
    <row r="62" spans="1:7" x14ac:dyDescent="0.2">
      <c r="F62" s="80"/>
    </row>
    <row r="63" spans="1:7" x14ac:dyDescent="0.2">
      <c r="F63" s="80"/>
    </row>
    <row r="64" spans="1:7" x14ac:dyDescent="0.2">
      <c r="F64" s="80"/>
    </row>
    <row r="65" spans="6:6" x14ac:dyDescent="0.2">
      <c r="F65" s="80"/>
    </row>
    <row r="66" spans="6:6" x14ac:dyDescent="0.2">
      <c r="F66" s="80"/>
    </row>
    <row r="67" spans="6:6" x14ac:dyDescent="0.2">
      <c r="F67" s="80"/>
    </row>
  </sheetData>
  <mergeCells count="1">
    <mergeCell ref="E4:F4"/>
  </mergeCells>
  <pageMargins left="0.25" right="0.25" top="1" bottom="1" header="0.5" footer="0.5"/>
  <pageSetup paperSize="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13" sqref="C13"/>
    </sheetView>
  </sheetViews>
  <sheetFormatPr defaultRowHeight="12.75" x14ac:dyDescent="0.2"/>
  <cols>
    <col min="1" max="1" width="22.7109375" style="20" customWidth="1"/>
    <col min="2" max="2" width="12.42578125" style="20" customWidth="1"/>
    <col min="3" max="3" width="12.28515625" style="20" customWidth="1"/>
    <col min="4" max="4" width="10.7109375" style="20" customWidth="1"/>
    <col min="5" max="5" width="12" style="20" bestFit="1" customWidth="1"/>
    <col min="6" max="6" width="10.7109375" style="21" customWidth="1"/>
    <col min="7" max="7" width="12" style="20" bestFit="1" customWidth="1"/>
    <col min="8" max="8" width="10.7109375" style="20" customWidth="1"/>
    <col min="9" max="9" width="12.7109375" style="20" bestFit="1" customWidth="1"/>
    <col min="10" max="10" width="10.7109375" style="20" customWidth="1"/>
    <col min="11" max="11" width="13" style="20" customWidth="1"/>
    <col min="12" max="13" width="10.7109375" style="20" customWidth="1"/>
    <col min="14" max="16384" width="9.140625" style="20"/>
  </cols>
  <sheetData>
    <row r="1" spans="1:13" ht="22.5" x14ac:dyDescent="0.3">
      <c r="A1" s="19" t="s">
        <v>118</v>
      </c>
    </row>
    <row r="2" spans="1:13" ht="22.5" x14ac:dyDescent="0.3">
      <c r="A2" s="19"/>
    </row>
    <row r="3" spans="1:13" ht="13.5" thickBot="1" x14ac:dyDescent="0.25"/>
    <row r="4" spans="1:13" ht="14.25" x14ac:dyDescent="0.3">
      <c r="A4" s="22" t="s">
        <v>27</v>
      </c>
      <c r="B4" s="23"/>
      <c r="C4" s="24" t="s">
        <v>28</v>
      </c>
      <c r="D4" s="24"/>
      <c r="E4" s="125" t="s">
        <v>29</v>
      </c>
      <c r="F4" s="126"/>
      <c r="H4" s="25" t="s">
        <v>30</v>
      </c>
      <c r="I4" s="26"/>
      <c r="J4" s="26"/>
      <c r="K4" s="26"/>
      <c r="L4" s="26"/>
      <c r="M4" s="27"/>
    </row>
    <row r="5" spans="1:13" x14ac:dyDescent="0.2">
      <c r="A5" s="28">
        <f>B54</f>
        <v>332.69230769230768</v>
      </c>
      <c r="B5" s="29">
        <f>C54</f>
        <v>1050</v>
      </c>
      <c r="C5" s="29">
        <f>D54</f>
        <v>0</v>
      </c>
      <c r="D5" s="30"/>
      <c r="E5" s="31">
        <v>0.1</v>
      </c>
      <c r="F5" s="32">
        <f t="shared" ref="F5:F10" si="0">A5</f>
        <v>332.69230769230768</v>
      </c>
      <c r="H5" s="33"/>
      <c r="I5" s="34" t="s">
        <v>31</v>
      </c>
      <c r="J5" s="35" t="s">
        <v>32</v>
      </c>
      <c r="K5" s="36"/>
      <c r="L5" s="35" t="s">
        <v>33</v>
      </c>
      <c r="M5" s="37" t="s">
        <v>32</v>
      </c>
    </row>
    <row r="6" spans="1:13" x14ac:dyDescent="0.2">
      <c r="A6" s="38">
        <f t="shared" ref="A6:C10" si="1">B55</f>
        <v>1050</v>
      </c>
      <c r="B6" s="39">
        <f t="shared" si="1"/>
        <v>3251.9230769230771</v>
      </c>
      <c r="C6" s="39">
        <f t="shared" si="1"/>
        <v>71.730769230769226</v>
      </c>
      <c r="D6" s="40" t="s">
        <v>34</v>
      </c>
      <c r="E6" s="41">
        <v>0.15</v>
      </c>
      <c r="F6" s="42">
        <f t="shared" si="0"/>
        <v>1050</v>
      </c>
      <c r="H6" s="43">
        <v>1</v>
      </c>
      <c r="I6" s="20" t="s">
        <v>76</v>
      </c>
      <c r="J6" s="98">
        <f>'Estimated Net Pay Calculation'!$B$33*-1</f>
        <v>150</v>
      </c>
      <c r="K6" s="36"/>
      <c r="L6" s="20" t="s">
        <v>78</v>
      </c>
      <c r="M6" s="96">
        <f>'Estimated Net Pay Calculation'!$B$29*-1</f>
        <v>90</v>
      </c>
    </row>
    <row r="7" spans="1:13" x14ac:dyDescent="0.2">
      <c r="A7" s="28">
        <f t="shared" si="1"/>
        <v>3251.9230769230771</v>
      </c>
      <c r="B7" s="29">
        <f t="shared" si="1"/>
        <v>6221.1538461538457</v>
      </c>
      <c r="C7" s="29">
        <f t="shared" si="1"/>
        <v>402.01923076923077</v>
      </c>
      <c r="D7" s="44" t="s">
        <v>34</v>
      </c>
      <c r="E7" s="31">
        <v>0.25</v>
      </c>
      <c r="F7" s="32">
        <f t="shared" si="0"/>
        <v>3251.9230769230771</v>
      </c>
      <c r="H7" s="43">
        <v>2</v>
      </c>
      <c r="I7" s="45" t="s">
        <v>80</v>
      </c>
      <c r="J7" s="95">
        <f>'Estimated Net Pay Calculation'!$B$31*-1</f>
        <v>115.38461538461539</v>
      </c>
      <c r="K7" s="36"/>
      <c r="L7" s="20" t="s">
        <v>77</v>
      </c>
      <c r="M7" s="96">
        <f>'Estimated Net Pay Calculation'!$B$30*-1</f>
        <v>50</v>
      </c>
    </row>
    <row r="8" spans="1:13" x14ac:dyDescent="0.2">
      <c r="A8" s="38">
        <f t="shared" si="1"/>
        <v>6221.1538461538457</v>
      </c>
      <c r="B8" s="39">
        <f t="shared" si="1"/>
        <v>9307.6923076923085</v>
      </c>
      <c r="C8" s="39">
        <f t="shared" si="1"/>
        <v>1144.3269230769231</v>
      </c>
      <c r="D8" s="40" t="s">
        <v>34</v>
      </c>
      <c r="E8" s="41">
        <v>0.28000000000000003</v>
      </c>
      <c r="F8" s="42">
        <f t="shared" si="0"/>
        <v>6221.1538461538457</v>
      </c>
      <c r="H8" s="43">
        <v>3</v>
      </c>
      <c r="I8" s="20" t="s">
        <v>97</v>
      </c>
      <c r="J8" s="95">
        <f>'Estimated Net Pay Calculation'!$B$32*-1</f>
        <v>115.38461538461539</v>
      </c>
      <c r="K8" s="36"/>
      <c r="L8" s="45"/>
      <c r="M8" s="46"/>
    </row>
    <row r="9" spans="1:13" x14ac:dyDescent="0.2">
      <c r="A9" s="28">
        <f t="shared" si="1"/>
        <v>9307.6923076923085</v>
      </c>
      <c r="B9" s="29">
        <f t="shared" si="1"/>
        <v>16359.615384615385</v>
      </c>
      <c r="C9" s="29">
        <f t="shared" si="1"/>
        <v>2008.5576923076924</v>
      </c>
      <c r="D9" s="47" t="s">
        <v>34</v>
      </c>
      <c r="E9" s="48">
        <v>0.33</v>
      </c>
      <c r="F9" s="49">
        <f t="shared" si="0"/>
        <v>9307.6923076923085</v>
      </c>
      <c r="H9" s="43">
        <v>4</v>
      </c>
      <c r="J9" s="45"/>
      <c r="K9" s="36"/>
      <c r="L9" s="45"/>
      <c r="M9" s="46"/>
    </row>
    <row r="10" spans="1:13" ht="13.5" thickBot="1" x14ac:dyDescent="0.25">
      <c r="A10" s="50">
        <f t="shared" si="1"/>
        <v>16359.615384615385</v>
      </c>
      <c r="B10" s="51">
        <f t="shared" si="1"/>
        <v>18436.538461538461</v>
      </c>
      <c r="C10" s="51">
        <f t="shared" si="1"/>
        <v>4335.6923076923076</v>
      </c>
      <c r="D10" s="52" t="s">
        <v>34</v>
      </c>
      <c r="E10" s="53">
        <v>0.35</v>
      </c>
      <c r="F10" s="54">
        <f t="shared" si="0"/>
        <v>16359.615384615385</v>
      </c>
      <c r="H10" s="43">
        <v>5</v>
      </c>
      <c r="J10" s="45"/>
      <c r="K10" s="36"/>
      <c r="L10" s="45"/>
      <c r="M10" s="46"/>
    </row>
    <row r="11" spans="1:13" x14ac:dyDescent="0.2">
      <c r="H11" s="43">
        <v>6</v>
      </c>
      <c r="J11" s="45"/>
      <c r="K11" s="36"/>
      <c r="L11" s="45"/>
      <c r="M11" s="46"/>
    </row>
    <row r="12" spans="1:13" ht="13.5" thickBot="1" x14ac:dyDescent="0.25">
      <c r="C12" s="20">
        <v>26.1</v>
      </c>
      <c r="D12" s="20" t="s">
        <v>39</v>
      </c>
      <c r="H12" s="43">
        <v>7</v>
      </c>
      <c r="J12" s="55"/>
      <c r="K12" s="36"/>
      <c r="L12" s="45"/>
      <c r="M12" s="46"/>
    </row>
    <row r="13" spans="1:13" ht="13.5" thickBot="1" x14ac:dyDescent="0.25">
      <c r="A13" s="56" t="s">
        <v>40</v>
      </c>
      <c r="B13" s="57">
        <v>31000</v>
      </c>
      <c r="C13" s="21">
        <f>IF('Estimated Net Pay Calculation'!$B$22="M",'Estimated Net Pay Calculation'!$D$27,0)</f>
        <v>3846.1538461538462</v>
      </c>
      <c r="D13" s="20" t="s">
        <v>41</v>
      </c>
      <c r="H13" s="58" t="s">
        <v>42</v>
      </c>
      <c r="I13" s="59"/>
      <c r="J13" s="100">
        <f>SUM(J6:J12)</f>
        <v>380.76923076923072</v>
      </c>
      <c r="K13" s="59"/>
      <c r="L13" s="59"/>
      <c r="M13" s="101">
        <f>SUM(M6:M12)</f>
        <v>140</v>
      </c>
    </row>
    <row r="14" spans="1:13" ht="3" customHeight="1" thickBot="1" x14ac:dyDescent="0.25">
      <c r="A14" s="56"/>
      <c r="B14" s="61"/>
    </row>
    <row r="15" spans="1:13" ht="13.5" thickBot="1" x14ac:dyDescent="0.25">
      <c r="A15" s="56" t="s">
        <v>43</v>
      </c>
      <c r="B15" s="97">
        <f>'Estimated Net Pay Calculation'!$B$23</f>
        <v>1</v>
      </c>
      <c r="C15" s="21">
        <f>-(B44*B15)</f>
        <v>-155.76923076923077</v>
      </c>
      <c r="D15" s="20" t="s">
        <v>44</v>
      </c>
    </row>
    <row r="16" spans="1:13" ht="13.5" thickBot="1" x14ac:dyDescent="0.25">
      <c r="A16" s="20" t="s">
        <v>45</v>
      </c>
      <c r="B16" s="62">
        <f>J13+M13</f>
        <v>520.76923076923072</v>
      </c>
      <c r="C16" s="63">
        <f>-B16</f>
        <v>-520.76923076923072</v>
      </c>
    </row>
    <row r="17" spans="1:13" ht="13.5" thickBot="1" x14ac:dyDescent="0.25">
      <c r="A17" s="20" t="s">
        <v>46</v>
      </c>
      <c r="B17" s="99">
        <f>'Estimated Net Pay Calculation'!$B$34*-1</f>
        <v>70</v>
      </c>
      <c r="C17" s="64">
        <f>SUM(C13:C16)</f>
        <v>3169.6153846153848</v>
      </c>
      <c r="D17" s="65" t="s">
        <v>47</v>
      </c>
    </row>
    <row r="18" spans="1:13" x14ac:dyDescent="0.2">
      <c r="A18" s="66" t="s">
        <v>48</v>
      </c>
      <c r="B18" s="67" t="s">
        <v>49</v>
      </c>
    </row>
    <row r="19" spans="1:13" x14ac:dyDescent="0.2">
      <c r="C19" s="68" t="s">
        <v>50</v>
      </c>
      <c r="E19" s="68" t="s">
        <v>50</v>
      </c>
      <c r="G19" s="68" t="s">
        <v>50</v>
      </c>
      <c r="I19" s="68" t="s">
        <v>50</v>
      </c>
      <c r="K19" s="68" t="s">
        <v>50</v>
      </c>
      <c r="L19" s="36"/>
      <c r="M19" s="36" t="s">
        <v>51</v>
      </c>
    </row>
    <row r="20" spans="1:13" x14ac:dyDescent="0.2">
      <c r="C20" s="36" t="s">
        <v>110</v>
      </c>
      <c r="D20" s="36"/>
      <c r="E20" s="36" t="s">
        <v>111</v>
      </c>
      <c r="F20" s="69"/>
      <c r="G20" s="36" t="s">
        <v>112</v>
      </c>
      <c r="I20" s="36" t="s">
        <v>113</v>
      </c>
      <c r="K20" s="70" t="s">
        <v>114</v>
      </c>
      <c r="L20" s="70"/>
      <c r="M20" s="70">
        <v>14042</v>
      </c>
    </row>
    <row r="21" spans="1:13" ht="13.5" thickBot="1" x14ac:dyDescent="0.25">
      <c r="C21" s="71"/>
      <c r="D21" s="71"/>
      <c r="E21" s="71"/>
      <c r="F21" s="72"/>
    </row>
    <row r="22" spans="1:13" ht="15.75" thickBot="1" x14ac:dyDescent="0.4">
      <c r="B22" s="56" t="s">
        <v>52</v>
      </c>
      <c r="C22" s="73">
        <f>IF(AND($C$17&gt;A5,$C$17&lt;B5),$C$17,0)</f>
        <v>0</v>
      </c>
      <c r="D22" s="74"/>
      <c r="E22" s="73">
        <f>IF(AND($C$17&gt;A6,$C$17&lt;B6),$C$17,0)</f>
        <v>3169.6153846153848</v>
      </c>
      <c r="F22" s="75"/>
      <c r="G22" s="73">
        <f>IF(AND($C$17&gt;A7,$C$17&lt;B7),$C$17,0)</f>
        <v>0</v>
      </c>
      <c r="H22" s="21"/>
      <c r="I22" s="73">
        <f>IF(AND($C$17&gt;A8,$C$17&lt;B8),$C$17,0)</f>
        <v>0</v>
      </c>
      <c r="J22" s="21"/>
      <c r="K22" s="73">
        <f>IF(AND($C$17&gt;A9,$C$17&lt;B9),$C$17,0)</f>
        <v>0</v>
      </c>
      <c r="L22" s="76"/>
      <c r="M22" s="73">
        <f>IF(($C$17&gt;A10),$C$17,0)</f>
        <v>0</v>
      </c>
    </row>
    <row r="23" spans="1:13" ht="24" customHeight="1" x14ac:dyDescent="0.2">
      <c r="B23" s="56" t="s">
        <v>53</v>
      </c>
      <c r="C23" s="77">
        <f>A5</f>
        <v>332.69230769230768</v>
      </c>
      <c r="D23" s="78"/>
      <c r="E23" s="77">
        <f>B5</f>
        <v>1050</v>
      </c>
      <c r="F23" s="78"/>
      <c r="G23" s="79">
        <f>A7</f>
        <v>3251.9230769230771</v>
      </c>
      <c r="H23" s="21"/>
      <c r="I23" s="79">
        <f>A8</f>
        <v>6221.1538461538457</v>
      </c>
      <c r="J23" s="21"/>
      <c r="K23" s="79">
        <f>A9</f>
        <v>9307.6923076923085</v>
      </c>
      <c r="L23" s="80"/>
      <c r="M23" s="79">
        <f>A10</f>
        <v>16359.615384615385</v>
      </c>
    </row>
    <row r="24" spans="1:13" ht="19.5" customHeight="1" x14ac:dyDescent="0.2">
      <c r="B24" s="56" t="s">
        <v>54</v>
      </c>
      <c r="C24" s="81">
        <f>C22-C23</f>
        <v>-332.69230769230768</v>
      </c>
      <c r="D24" s="81"/>
      <c r="E24" s="81">
        <f>E22-E23</f>
        <v>2119.6153846153848</v>
      </c>
      <c r="F24" s="78"/>
      <c r="G24" s="81">
        <f>G22-G23</f>
        <v>-3251.9230769230771</v>
      </c>
      <c r="I24" s="81">
        <f>I22-I23</f>
        <v>-6221.1538461538457</v>
      </c>
      <c r="K24" s="81">
        <f>K22-K23</f>
        <v>-9307.6923076923085</v>
      </c>
      <c r="L24" s="81"/>
      <c r="M24" s="81">
        <f>M22-M23</f>
        <v>-16359.615384615385</v>
      </c>
    </row>
    <row r="25" spans="1:13" x14ac:dyDescent="0.2">
      <c r="B25" s="56" t="s">
        <v>55</v>
      </c>
      <c r="C25" s="82">
        <f>C24*E5</f>
        <v>-33.269230769230766</v>
      </c>
      <c r="D25" s="81"/>
      <c r="E25" s="82">
        <f>E24*E6</f>
        <v>317.94230769230768</v>
      </c>
      <c r="F25" s="78"/>
      <c r="G25" s="82">
        <f>G24*E7</f>
        <v>-812.98076923076928</v>
      </c>
      <c r="I25" s="82">
        <f>I24*E8</f>
        <v>-1741.9230769230769</v>
      </c>
      <c r="K25" s="82">
        <f>K24*E9</f>
        <v>-3071.5384615384619</v>
      </c>
      <c r="L25" s="78"/>
      <c r="M25" s="82">
        <f>M24*E10</f>
        <v>-5725.8653846153848</v>
      </c>
    </row>
    <row r="26" spans="1:13" x14ac:dyDescent="0.2">
      <c r="C26" s="21"/>
      <c r="D26" s="21"/>
      <c r="F26" s="80"/>
    </row>
    <row r="27" spans="1:13" x14ac:dyDescent="0.2">
      <c r="B27" s="56" t="s">
        <v>56</v>
      </c>
      <c r="C27" s="21">
        <v>0</v>
      </c>
      <c r="D27" s="21"/>
      <c r="E27" s="83">
        <f>C6</f>
        <v>71.730769230769226</v>
      </c>
      <c r="F27" s="80"/>
      <c r="G27" s="83">
        <f>C7</f>
        <v>402.01923076923077</v>
      </c>
      <c r="H27" s="21"/>
      <c r="I27" s="83">
        <f>C8</f>
        <v>1144.3269230769231</v>
      </c>
      <c r="J27" s="21"/>
      <c r="K27" s="83">
        <f>C9</f>
        <v>2008.5576923076924</v>
      </c>
      <c r="L27" s="21"/>
      <c r="M27" s="83">
        <f>C10</f>
        <v>4335.6923076923076</v>
      </c>
    </row>
    <row r="28" spans="1:13" ht="13.5" thickBot="1" x14ac:dyDescent="0.25">
      <c r="B28" s="56" t="str">
        <f>B25</f>
        <v>W/H on excess</v>
      </c>
      <c r="C28" s="80">
        <f>C25</f>
        <v>-33.269230769230766</v>
      </c>
      <c r="D28" s="21"/>
      <c r="E28" s="21">
        <f>E25</f>
        <v>317.94230769230768</v>
      </c>
      <c r="F28" s="80"/>
      <c r="G28" s="21">
        <f>G25</f>
        <v>-812.98076923076928</v>
      </c>
      <c r="I28" s="21">
        <f>I25</f>
        <v>-1741.9230769230769</v>
      </c>
      <c r="K28" s="21">
        <f>K25</f>
        <v>-3071.5384615384619</v>
      </c>
      <c r="L28" s="80"/>
      <c r="M28" s="21">
        <f>M25</f>
        <v>-5725.8653846153848</v>
      </c>
    </row>
    <row r="29" spans="1:13" ht="13.5" thickBot="1" x14ac:dyDescent="0.25">
      <c r="B29" s="56" t="s">
        <v>57</v>
      </c>
      <c r="C29" s="84">
        <f>SUM(C27:C28)</f>
        <v>-33.269230769230766</v>
      </c>
      <c r="D29" s="85"/>
      <c r="E29" s="86">
        <f>SUM(E27:E28)</f>
        <v>389.67307692307691</v>
      </c>
      <c r="F29" s="85"/>
      <c r="G29" s="86">
        <f>SUM(G27:G28)</f>
        <v>-410.96153846153851</v>
      </c>
      <c r="I29" s="86">
        <f>SUM(I27:I28)</f>
        <v>-597.59615384615381</v>
      </c>
      <c r="K29" s="86">
        <f>SUM(K27:K28)</f>
        <v>-1062.9807692307695</v>
      </c>
      <c r="L29" s="87"/>
      <c r="M29" s="86">
        <f>SUM(M27:M28)</f>
        <v>-1390.1730769230771</v>
      </c>
    </row>
    <row r="30" spans="1:13" x14ac:dyDescent="0.2">
      <c r="B30" s="56"/>
      <c r="F30" s="80"/>
    </row>
    <row r="31" spans="1:13" x14ac:dyDescent="0.2">
      <c r="B31" s="56" t="s">
        <v>58</v>
      </c>
      <c r="C31" s="63">
        <f>IF(C22=0, ,$C$13)</f>
        <v>0</v>
      </c>
      <c r="D31" s="63"/>
      <c r="E31" s="63">
        <f>IF(E22=0, ,$C$13)</f>
        <v>3846.1538461538462</v>
      </c>
      <c r="F31" s="80"/>
      <c r="G31" s="63">
        <f>IF(G22=0, ,$C$13)</f>
        <v>0</v>
      </c>
      <c r="I31" s="63">
        <f>IF(I22=0, ,$C$13)</f>
        <v>0</v>
      </c>
      <c r="K31" s="63">
        <f>IF(K22=0, ,$C$13)</f>
        <v>0</v>
      </c>
      <c r="L31" s="63"/>
      <c r="M31" s="63">
        <f>IF(M22=0, ,$C$13)</f>
        <v>0</v>
      </c>
    </row>
    <row r="32" spans="1:13" x14ac:dyDescent="0.2">
      <c r="B32" s="56" t="s">
        <v>59</v>
      </c>
      <c r="C32" s="63">
        <f>IF(C22=0,0,-C29)</f>
        <v>0</v>
      </c>
      <c r="D32" s="63"/>
      <c r="E32" s="63">
        <f>IF(E22=0,0,-E29)</f>
        <v>-389.67307692307691</v>
      </c>
      <c r="F32" s="88"/>
      <c r="G32" s="63">
        <f>IF(G22=0,0,-G29)</f>
        <v>0</v>
      </c>
      <c r="I32" s="63">
        <f>IF(I22=0,0,-I29)</f>
        <v>0</v>
      </c>
      <c r="K32" s="63">
        <f>IF(K22=0,0,-K29)</f>
        <v>0</v>
      </c>
      <c r="L32" s="63"/>
      <c r="M32" s="63">
        <f>IF(M22=0,0,-M29)</f>
        <v>0</v>
      </c>
    </row>
    <row r="33" spans="1:13" x14ac:dyDescent="0.2">
      <c r="B33" s="56" t="s">
        <v>60</v>
      </c>
      <c r="C33" s="63">
        <f>IF(OR($B$18="N",C22=0),0,($C$13-$M$13)*0.0765*-1)</f>
        <v>0</v>
      </c>
      <c r="D33" s="63"/>
      <c r="E33" s="63">
        <f>IF(OR($B$18="N",E22=0),0,($C$13-$M$13)*0.0765*-1)</f>
        <v>-283.52076923076925</v>
      </c>
      <c r="F33" s="88"/>
      <c r="G33" s="63">
        <f>IF(OR($B$18="N",G22=0),0,($C$13-$M$13)*0.0765*-1)</f>
        <v>0</v>
      </c>
      <c r="I33" s="63">
        <f>IF(OR($B$18="N",I22=0),0,($C$13-$M$13)*0.0765*-1)</f>
        <v>0</v>
      </c>
      <c r="K33" s="63">
        <f>IF(OR($B$18="N",K22=0),0,($C$13-$M$13)*0.0765*-1)</f>
        <v>0</v>
      </c>
      <c r="L33" s="63"/>
      <c r="M33" s="63">
        <f>IF(OR($B$18="N",M22=0),0,($C$13-$M$13)*0.0765*-1)</f>
        <v>0</v>
      </c>
    </row>
    <row r="34" spans="1:13" ht="13.5" thickBot="1" x14ac:dyDescent="0.25">
      <c r="B34" s="56" t="s">
        <v>15</v>
      </c>
      <c r="C34" s="63">
        <f>IF(C31&gt;0,-$B$16-$B$17,0)</f>
        <v>0</v>
      </c>
      <c r="D34" s="63"/>
      <c r="E34" s="63">
        <f>IF(E31&gt;0,-$B$16-$B$17,0)</f>
        <v>-590.76923076923072</v>
      </c>
      <c r="F34" s="88"/>
      <c r="G34" s="63">
        <f>IF(G31&gt;0,-$B$16-$B$17,0)</f>
        <v>0</v>
      </c>
      <c r="I34" s="63">
        <f>IF(I31&gt;0,-$B$16-$B$17,0)</f>
        <v>0</v>
      </c>
      <c r="K34" s="63">
        <f>IF(K31&gt;0,-$B$16-$B$17,0)</f>
        <v>0</v>
      </c>
      <c r="L34" s="63"/>
      <c r="M34" s="63">
        <f>IF(M31&gt;0,-$B$16-$B$17,0)</f>
        <v>0</v>
      </c>
    </row>
    <row r="35" spans="1:13" ht="13.5" thickBot="1" x14ac:dyDescent="0.25">
      <c r="B35" s="56" t="s">
        <v>13</v>
      </c>
      <c r="C35" s="86">
        <f>SUM(C31:C34)</f>
        <v>0</v>
      </c>
      <c r="D35" s="89"/>
      <c r="E35" s="86">
        <f>SUM(E31:E34)</f>
        <v>2582.1907692307695</v>
      </c>
      <c r="F35" s="89"/>
      <c r="G35" s="86">
        <f>SUM(G31:G34)</f>
        <v>0</v>
      </c>
      <c r="I35" s="86">
        <f>SUM(I31:I34)</f>
        <v>0</v>
      </c>
      <c r="K35" s="90">
        <f>SUM(K31:K34)</f>
        <v>0</v>
      </c>
      <c r="L35" s="87"/>
      <c r="M35" s="86">
        <f>SUM(M31:M34)</f>
        <v>0</v>
      </c>
    </row>
    <row r="36" spans="1:13" x14ac:dyDescent="0.2">
      <c r="A36" s="56"/>
      <c r="F36" s="80"/>
    </row>
    <row r="37" spans="1:13" x14ac:dyDescent="0.2">
      <c r="F37" s="80"/>
    </row>
    <row r="38" spans="1:13" x14ac:dyDescent="0.2">
      <c r="F38" s="80"/>
    </row>
    <row r="39" spans="1:13" x14ac:dyDescent="0.2">
      <c r="F39" s="80"/>
    </row>
    <row r="40" spans="1:13" x14ac:dyDescent="0.2">
      <c r="A40" s="20" t="s">
        <v>61</v>
      </c>
      <c r="B40" s="91">
        <v>90</v>
      </c>
      <c r="C40" s="63"/>
      <c r="D40" s="63"/>
      <c r="F40" s="88"/>
    </row>
    <row r="41" spans="1:13" x14ac:dyDescent="0.2">
      <c r="A41" s="20" t="s">
        <v>62</v>
      </c>
      <c r="B41" s="91">
        <v>25</v>
      </c>
      <c r="C41" s="63"/>
      <c r="D41" s="63"/>
      <c r="F41" s="88"/>
    </row>
    <row r="42" spans="1:13" x14ac:dyDescent="0.2">
      <c r="B42" s="91"/>
      <c r="C42" s="63"/>
      <c r="D42" s="63"/>
      <c r="F42" s="88"/>
    </row>
    <row r="43" spans="1:13" x14ac:dyDescent="0.2">
      <c r="A43" s="20" t="s">
        <v>63</v>
      </c>
      <c r="B43" s="91">
        <v>4050</v>
      </c>
      <c r="F43" s="80"/>
    </row>
    <row r="44" spans="1:13" x14ac:dyDescent="0.2">
      <c r="A44" s="20" t="s">
        <v>64</v>
      </c>
      <c r="B44" s="92">
        <f>B43/26</f>
        <v>155.76923076923077</v>
      </c>
      <c r="F44" s="80"/>
    </row>
    <row r="45" spans="1:13" x14ac:dyDescent="0.2">
      <c r="B45" s="92"/>
      <c r="F45" s="80"/>
    </row>
    <row r="46" spans="1:13" x14ac:dyDescent="0.2">
      <c r="A46" s="20" t="s">
        <v>65</v>
      </c>
      <c r="B46" s="91">
        <v>8650</v>
      </c>
      <c r="C46" s="91">
        <f>B47</f>
        <v>27300</v>
      </c>
      <c r="D46" s="91">
        <v>0</v>
      </c>
      <c r="E46" s="20" t="s">
        <v>34</v>
      </c>
      <c r="F46" s="93">
        <v>0.1</v>
      </c>
      <c r="G46" s="91">
        <f t="shared" ref="G46:G51" si="2">B46</f>
        <v>8650</v>
      </c>
    </row>
    <row r="47" spans="1:13" x14ac:dyDescent="0.2">
      <c r="B47" s="91">
        <v>27300</v>
      </c>
      <c r="C47" s="91">
        <f t="shared" ref="C47:C50" si="3">B48</f>
        <v>84550</v>
      </c>
      <c r="D47" s="91">
        <v>1865</v>
      </c>
      <c r="E47" s="20" t="s">
        <v>34</v>
      </c>
      <c r="F47" s="94">
        <v>0.15</v>
      </c>
      <c r="G47" s="91">
        <f t="shared" si="2"/>
        <v>27300</v>
      </c>
    </row>
    <row r="48" spans="1:13" x14ac:dyDescent="0.2">
      <c r="B48" s="91">
        <v>84550</v>
      </c>
      <c r="C48" s="91">
        <f t="shared" si="3"/>
        <v>161750</v>
      </c>
      <c r="D48" s="91">
        <v>10452.5</v>
      </c>
      <c r="E48" s="20" t="s">
        <v>34</v>
      </c>
      <c r="F48" s="94">
        <v>0.25</v>
      </c>
      <c r="G48" s="91">
        <f t="shared" si="2"/>
        <v>84550</v>
      </c>
    </row>
    <row r="49" spans="1:7" x14ac:dyDescent="0.2">
      <c r="B49" s="91">
        <v>161750</v>
      </c>
      <c r="C49" s="91">
        <f t="shared" si="3"/>
        <v>242000</v>
      </c>
      <c r="D49" s="91">
        <v>29752.5</v>
      </c>
      <c r="E49" s="20" t="s">
        <v>34</v>
      </c>
      <c r="F49" s="94">
        <v>0.28000000000000003</v>
      </c>
      <c r="G49" s="91">
        <f t="shared" si="2"/>
        <v>161750</v>
      </c>
    </row>
    <row r="50" spans="1:7" x14ac:dyDescent="0.2">
      <c r="B50" s="91">
        <v>242000</v>
      </c>
      <c r="C50" s="91">
        <f t="shared" si="3"/>
        <v>425350</v>
      </c>
      <c r="D50" s="91">
        <v>52222.5</v>
      </c>
      <c r="E50" s="20" t="s">
        <v>34</v>
      </c>
      <c r="F50" s="94">
        <v>0.33</v>
      </c>
      <c r="G50" s="91">
        <f t="shared" si="2"/>
        <v>242000</v>
      </c>
    </row>
    <row r="51" spans="1:7" x14ac:dyDescent="0.2">
      <c r="B51" s="91">
        <v>425350</v>
      </c>
      <c r="C51" s="91">
        <v>479350</v>
      </c>
      <c r="D51" s="91">
        <v>112728</v>
      </c>
      <c r="E51" s="20" t="s">
        <v>34</v>
      </c>
      <c r="F51" s="94">
        <v>0.35</v>
      </c>
      <c r="G51" s="91">
        <f t="shared" si="2"/>
        <v>425350</v>
      </c>
    </row>
    <row r="52" spans="1:7" x14ac:dyDescent="0.2">
      <c r="F52" s="94"/>
    </row>
    <row r="53" spans="1:7" x14ac:dyDescent="0.2">
      <c r="A53" s="20" t="s">
        <v>104</v>
      </c>
      <c r="F53" s="80"/>
    </row>
    <row r="54" spans="1:7" x14ac:dyDescent="0.2">
      <c r="B54" s="91">
        <f>B46/26</f>
        <v>332.69230769230768</v>
      </c>
      <c r="C54" s="91">
        <f>C46/26</f>
        <v>1050</v>
      </c>
      <c r="D54" s="91">
        <f>D46/26</f>
        <v>0</v>
      </c>
      <c r="E54" s="20" t="s">
        <v>34</v>
      </c>
      <c r="F54" s="93">
        <v>0.1</v>
      </c>
      <c r="G54" s="91">
        <f>G46/26</f>
        <v>332.69230769230768</v>
      </c>
    </row>
    <row r="55" spans="1:7" x14ac:dyDescent="0.2">
      <c r="B55" s="91">
        <f t="shared" ref="B55:D59" si="4">B47/26</f>
        <v>1050</v>
      </c>
      <c r="C55" s="91">
        <f t="shared" si="4"/>
        <v>3251.9230769230771</v>
      </c>
      <c r="D55" s="91">
        <f t="shared" si="4"/>
        <v>71.730769230769226</v>
      </c>
      <c r="E55" s="20" t="s">
        <v>34</v>
      </c>
      <c r="F55" s="94">
        <v>0.15</v>
      </c>
      <c r="G55" s="91">
        <f t="shared" ref="G55:G59" si="5">G47/26</f>
        <v>1050</v>
      </c>
    </row>
    <row r="56" spans="1:7" x14ac:dyDescent="0.2">
      <c r="B56" s="91">
        <f t="shared" si="4"/>
        <v>3251.9230769230771</v>
      </c>
      <c r="C56" s="91">
        <f t="shared" si="4"/>
        <v>6221.1538461538457</v>
      </c>
      <c r="D56" s="91">
        <f t="shared" si="4"/>
        <v>402.01923076923077</v>
      </c>
      <c r="E56" s="20" t="s">
        <v>34</v>
      </c>
      <c r="F56" s="94">
        <v>0.25</v>
      </c>
      <c r="G56" s="91">
        <f t="shared" si="5"/>
        <v>3251.9230769230771</v>
      </c>
    </row>
    <row r="57" spans="1:7" x14ac:dyDescent="0.2">
      <c r="B57" s="91">
        <f t="shared" si="4"/>
        <v>6221.1538461538457</v>
      </c>
      <c r="C57" s="91">
        <f t="shared" si="4"/>
        <v>9307.6923076923085</v>
      </c>
      <c r="D57" s="91">
        <f t="shared" si="4"/>
        <v>1144.3269230769231</v>
      </c>
      <c r="E57" s="20" t="s">
        <v>34</v>
      </c>
      <c r="F57" s="94">
        <v>0.28000000000000003</v>
      </c>
      <c r="G57" s="91">
        <f t="shared" si="5"/>
        <v>6221.1538461538457</v>
      </c>
    </row>
    <row r="58" spans="1:7" x14ac:dyDescent="0.2">
      <c r="B58" s="91">
        <f t="shared" si="4"/>
        <v>9307.6923076923085</v>
      </c>
      <c r="C58" s="91">
        <f t="shared" si="4"/>
        <v>16359.615384615385</v>
      </c>
      <c r="D58" s="91">
        <f t="shared" si="4"/>
        <v>2008.5576923076924</v>
      </c>
      <c r="E58" s="20" t="s">
        <v>34</v>
      </c>
      <c r="F58" s="94">
        <v>0.33</v>
      </c>
      <c r="G58" s="91">
        <f t="shared" si="5"/>
        <v>9307.6923076923085</v>
      </c>
    </row>
    <row r="59" spans="1:7" x14ac:dyDescent="0.2">
      <c r="B59" s="91">
        <f t="shared" si="4"/>
        <v>16359.615384615385</v>
      </c>
      <c r="C59" s="91">
        <f t="shared" si="4"/>
        <v>18436.538461538461</v>
      </c>
      <c r="D59" s="91">
        <f t="shared" si="4"/>
        <v>4335.6923076923076</v>
      </c>
      <c r="E59" s="20" t="s">
        <v>34</v>
      </c>
      <c r="F59" s="94">
        <v>0.35</v>
      </c>
      <c r="G59" s="91">
        <f t="shared" si="5"/>
        <v>16359.615384615385</v>
      </c>
    </row>
    <row r="60" spans="1:7" x14ac:dyDescent="0.2">
      <c r="F60" s="80"/>
    </row>
    <row r="61" spans="1:7" x14ac:dyDescent="0.2">
      <c r="A61" s="20" t="s">
        <v>66</v>
      </c>
      <c r="B61" s="91">
        <f>B43/27</f>
        <v>150</v>
      </c>
      <c r="F61" s="80"/>
    </row>
    <row r="62" spans="1:7" x14ac:dyDescent="0.2">
      <c r="F62" s="80"/>
    </row>
    <row r="63" spans="1:7" x14ac:dyDescent="0.2">
      <c r="F63" s="80"/>
    </row>
    <row r="64" spans="1:7" x14ac:dyDescent="0.2">
      <c r="F64" s="80"/>
    </row>
    <row r="65" spans="6:6" x14ac:dyDescent="0.2">
      <c r="F65" s="80"/>
    </row>
    <row r="66" spans="6:6" x14ac:dyDescent="0.2">
      <c r="F66" s="80"/>
    </row>
    <row r="67" spans="6:6" x14ac:dyDescent="0.2">
      <c r="F67" s="80"/>
    </row>
  </sheetData>
  <mergeCells count="1">
    <mergeCell ref="E4:F4"/>
  </mergeCells>
  <pageMargins left="0.25" right="0.25" top="1" bottom="1" header="0.5" footer="0.5"/>
  <pageSetup paperSize="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13" sqref="C13"/>
    </sheetView>
  </sheetViews>
  <sheetFormatPr defaultRowHeight="12.75" x14ac:dyDescent="0.2"/>
  <cols>
    <col min="1" max="1" width="22.7109375" style="20" customWidth="1"/>
    <col min="2" max="2" width="12.42578125" style="20" customWidth="1"/>
    <col min="3" max="3" width="12.28515625" style="20" customWidth="1"/>
    <col min="4" max="4" width="10.7109375" style="20" customWidth="1"/>
    <col min="5" max="5" width="12" style="20" bestFit="1" customWidth="1"/>
    <col min="6" max="6" width="10.7109375" style="21" customWidth="1"/>
    <col min="7" max="7" width="12" style="20" bestFit="1" customWidth="1"/>
    <col min="8" max="8" width="10.7109375" style="20" customWidth="1"/>
    <col min="9" max="9" width="12.7109375" style="20" bestFit="1" customWidth="1"/>
    <col min="10" max="10" width="10.7109375" style="20" customWidth="1"/>
    <col min="11" max="11" width="13" style="20" customWidth="1"/>
    <col min="12" max="13" width="10.7109375" style="20" customWidth="1"/>
    <col min="14" max="16384" width="9.140625" style="20"/>
  </cols>
  <sheetData>
    <row r="1" spans="1:13" ht="22.5" x14ac:dyDescent="0.3">
      <c r="A1" s="19" t="str">
        <f>'M T Current'!$A$1</f>
        <v>2017 Income Tax Withholding Payment Tables - MARIED persons</v>
      </c>
    </row>
    <row r="2" spans="1:13" ht="22.5" x14ac:dyDescent="0.3">
      <c r="A2" s="19"/>
    </row>
    <row r="3" spans="1:13" ht="13.5" thickBot="1" x14ac:dyDescent="0.25"/>
    <row r="4" spans="1:13" ht="14.25" x14ac:dyDescent="0.3">
      <c r="A4" s="22" t="s">
        <v>27</v>
      </c>
      <c r="B4" s="23"/>
      <c r="C4" s="24" t="s">
        <v>28</v>
      </c>
      <c r="D4" s="24"/>
      <c r="E4" s="125" t="s">
        <v>29</v>
      </c>
      <c r="F4" s="126"/>
      <c r="H4" s="25" t="s">
        <v>30</v>
      </c>
      <c r="I4" s="26"/>
      <c r="J4" s="26"/>
      <c r="K4" s="26"/>
      <c r="L4" s="26"/>
      <c r="M4" s="27"/>
    </row>
    <row r="5" spans="1:13" x14ac:dyDescent="0.2">
      <c r="A5" s="28">
        <f>B54</f>
        <v>332.69230769230768</v>
      </c>
      <c r="B5" s="29">
        <f>C54</f>
        <v>1050</v>
      </c>
      <c r="C5" s="29">
        <f>D54</f>
        <v>0</v>
      </c>
      <c r="D5" s="30"/>
      <c r="E5" s="31">
        <v>0.1</v>
      </c>
      <c r="F5" s="32">
        <f t="shared" ref="F5:F10" si="0">A5</f>
        <v>332.69230769230768</v>
      </c>
      <c r="H5" s="33"/>
      <c r="I5" s="34" t="s">
        <v>31</v>
      </c>
      <c r="J5" s="35" t="s">
        <v>32</v>
      </c>
      <c r="K5" s="36"/>
      <c r="L5" s="35" t="s">
        <v>33</v>
      </c>
      <c r="M5" s="37" t="s">
        <v>32</v>
      </c>
    </row>
    <row r="6" spans="1:13" x14ac:dyDescent="0.2">
      <c r="A6" s="38">
        <f t="shared" ref="A6:C10" si="1">B55</f>
        <v>1050</v>
      </c>
      <c r="B6" s="39">
        <f t="shared" si="1"/>
        <v>3251.9230769230771</v>
      </c>
      <c r="C6" s="39">
        <f t="shared" si="1"/>
        <v>71.730769230769226</v>
      </c>
      <c r="D6" s="40" t="s">
        <v>34</v>
      </c>
      <c r="E6" s="41">
        <v>0.15</v>
      </c>
      <c r="F6" s="42">
        <f t="shared" si="0"/>
        <v>1050</v>
      </c>
      <c r="H6" s="43">
        <v>1</v>
      </c>
      <c r="I6" s="20" t="s">
        <v>76</v>
      </c>
      <c r="J6" s="98">
        <f>'Estimated Net Pay Calculation'!$D$33*-1</f>
        <v>150</v>
      </c>
      <c r="K6" s="36"/>
      <c r="L6" s="20" t="s">
        <v>78</v>
      </c>
      <c r="M6" s="96">
        <f>'Estimated Net Pay Calculation'!$D$29*-1</f>
        <v>180</v>
      </c>
    </row>
    <row r="7" spans="1:13" x14ac:dyDescent="0.2">
      <c r="A7" s="28">
        <f t="shared" si="1"/>
        <v>3251.9230769230771</v>
      </c>
      <c r="B7" s="29">
        <f t="shared" si="1"/>
        <v>6221.1538461538457</v>
      </c>
      <c r="C7" s="29">
        <f t="shared" si="1"/>
        <v>402.01923076923077</v>
      </c>
      <c r="D7" s="44" t="s">
        <v>34</v>
      </c>
      <c r="E7" s="31">
        <v>0.25</v>
      </c>
      <c r="F7" s="32">
        <f t="shared" si="0"/>
        <v>3251.9230769230771</v>
      </c>
      <c r="H7" s="43">
        <v>2</v>
      </c>
      <c r="I7" s="45" t="s">
        <v>80</v>
      </c>
      <c r="J7" s="95">
        <f>'Estimated Net Pay Calculation'!$D$31*-1</f>
        <v>115.38461538461539</v>
      </c>
      <c r="K7" s="36"/>
      <c r="L7" s="20" t="s">
        <v>77</v>
      </c>
      <c r="M7" s="96">
        <f>'Estimated Net Pay Calculation'!$D$30*-1</f>
        <v>100</v>
      </c>
    </row>
    <row r="8" spans="1:13" x14ac:dyDescent="0.2">
      <c r="A8" s="38">
        <f t="shared" si="1"/>
        <v>6221.1538461538457</v>
      </c>
      <c r="B8" s="39">
        <f t="shared" si="1"/>
        <v>9307.6923076923085</v>
      </c>
      <c r="C8" s="39">
        <f t="shared" si="1"/>
        <v>1144.3269230769231</v>
      </c>
      <c r="D8" s="40" t="s">
        <v>34</v>
      </c>
      <c r="E8" s="41">
        <v>0.28000000000000003</v>
      </c>
      <c r="F8" s="42">
        <f t="shared" si="0"/>
        <v>6221.1538461538457</v>
      </c>
      <c r="H8" s="43">
        <v>3</v>
      </c>
      <c r="I8" s="20" t="s">
        <v>97</v>
      </c>
      <c r="J8" s="95">
        <f>'Estimated Net Pay Calculation'!$D$32*-1</f>
        <v>115.38461538461539</v>
      </c>
      <c r="K8" s="36"/>
      <c r="L8" s="45"/>
      <c r="M8" s="46"/>
    </row>
    <row r="9" spans="1:13" x14ac:dyDescent="0.2">
      <c r="A9" s="28">
        <f t="shared" si="1"/>
        <v>9307.6923076923085</v>
      </c>
      <c r="B9" s="29">
        <f t="shared" si="1"/>
        <v>16359.615384615385</v>
      </c>
      <c r="C9" s="29">
        <f t="shared" si="1"/>
        <v>2008.5576923076924</v>
      </c>
      <c r="D9" s="47" t="s">
        <v>34</v>
      </c>
      <c r="E9" s="48">
        <v>0.33</v>
      </c>
      <c r="F9" s="49">
        <f t="shared" si="0"/>
        <v>9307.6923076923085</v>
      </c>
      <c r="H9" s="43">
        <v>4</v>
      </c>
      <c r="J9" s="45"/>
      <c r="K9" s="36"/>
      <c r="L9" s="45"/>
      <c r="M9" s="46"/>
    </row>
    <row r="10" spans="1:13" ht="13.5" thickBot="1" x14ac:dyDescent="0.25">
      <c r="A10" s="50">
        <f t="shared" si="1"/>
        <v>16359.615384615385</v>
      </c>
      <c r="B10" s="51">
        <f t="shared" si="1"/>
        <v>18436.538461538461</v>
      </c>
      <c r="C10" s="51">
        <f t="shared" si="1"/>
        <v>4335.6923076923076</v>
      </c>
      <c r="D10" s="52" t="s">
        <v>34</v>
      </c>
      <c r="E10" s="53">
        <v>0.35</v>
      </c>
      <c r="F10" s="54">
        <f t="shared" si="0"/>
        <v>16359.615384615385</v>
      </c>
      <c r="H10" s="43">
        <v>5</v>
      </c>
      <c r="J10" s="45"/>
      <c r="K10" s="36"/>
      <c r="L10" s="45"/>
      <c r="M10" s="46"/>
    </row>
    <row r="11" spans="1:13" x14ac:dyDescent="0.2">
      <c r="H11" s="43">
        <v>6</v>
      </c>
      <c r="J11" s="45"/>
      <c r="K11" s="36"/>
      <c r="L11" s="45"/>
      <c r="M11" s="46"/>
    </row>
    <row r="12" spans="1:13" ht="13.5" thickBot="1" x14ac:dyDescent="0.25">
      <c r="C12" s="20">
        <v>26.1</v>
      </c>
      <c r="D12" s="20" t="s">
        <v>39</v>
      </c>
      <c r="H12" s="43">
        <v>7</v>
      </c>
      <c r="J12" s="55"/>
      <c r="K12" s="36"/>
      <c r="L12" s="45"/>
      <c r="M12" s="46"/>
    </row>
    <row r="13" spans="1:13" ht="13.5" thickBot="1" x14ac:dyDescent="0.25">
      <c r="A13" s="56" t="s">
        <v>40</v>
      </c>
      <c r="B13" s="57">
        <v>31000</v>
      </c>
      <c r="C13" s="21">
        <f>IF('Estimated Net Pay Calculation'!$B$22="M",'Estimated Net Pay Calculation'!$D$27,0)</f>
        <v>3846.1538461538462</v>
      </c>
      <c r="D13" s="20" t="s">
        <v>41</v>
      </c>
      <c r="H13" s="58" t="s">
        <v>42</v>
      </c>
      <c r="I13" s="59"/>
      <c r="J13" s="59">
        <f>SUM(J6:J12)</f>
        <v>380.76923076923072</v>
      </c>
      <c r="K13" s="59"/>
      <c r="L13" s="59"/>
      <c r="M13" s="60">
        <f>SUM(M6:M12)</f>
        <v>280</v>
      </c>
    </row>
    <row r="14" spans="1:13" ht="3" customHeight="1" thickBot="1" x14ac:dyDescent="0.25">
      <c r="A14" s="56"/>
      <c r="B14" s="61"/>
    </row>
    <row r="15" spans="1:13" ht="13.5" thickBot="1" x14ac:dyDescent="0.25">
      <c r="A15" s="56" t="s">
        <v>43</v>
      </c>
      <c r="B15" s="97">
        <f>'Estimated Net Pay Calculation'!$B$23</f>
        <v>1</v>
      </c>
      <c r="C15" s="21">
        <f>-(B44*B15)</f>
        <v>-155.76923076923077</v>
      </c>
      <c r="D15" s="20" t="s">
        <v>44</v>
      </c>
    </row>
    <row r="16" spans="1:13" ht="13.5" thickBot="1" x14ac:dyDescent="0.25">
      <c r="A16" s="20" t="s">
        <v>45</v>
      </c>
      <c r="B16" s="62">
        <f>J13+M13</f>
        <v>660.76923076923072</v>
      </c>
      <c r="C16" s="63">
        <f>-B16</f>
        <v>-660.76923076923072</v>
      </c>
    </row>
    <row r="17" spans="1:13" ht="13.5" thickBot="1" x14ac:dyDescent="0.25">
      <c r="A17" s="20" t="s">
        <v>46</v>
      </c>
      <c r="B17" s="99">
        <f>'Estimated Net Pay Calculation'!$D$34*-1</f>
        <v>70</v>
      </c>
      <c r="C17" s="64">
        <f>SUM(C13:C16)</f>
        <v>3029.6153846153848</v>
      </c>
      <c r="D17" s="65" t="s">
        <v>47</v>
      </c>
    </row>
    <row r="18" spans="1:13" x14ac:dyDescent="0.2">
      <c r="A18" s="66" t="s">
        <v>48</v>
      </c>
      <c r="B18" s="67" t="s">
        <v>49</v>
      </c>
    </row>
    <row r="19" spans="1:13" x14ac:dyDescent="0.2">
      <c r="C19" s="68" t="s">
        <v>50</v>
      </c>
      <c r="E19" s="68" t="s">
        <v>50</v>
      </c>
      <c r="G19" s="68" t="s">
        <v>50</v>
      </c>
      <c r="I19" s="68" t="s">
        <v>50</v>
      </c>
      <c r="K19" s="68" t="s">
        <v>50</v>
      </c>
      <c r="L19" s="36"/>
      <c r="M19" s="36" t="s">
        <v>51</v>
      </c>
    </row>
    <row r="20" spans="1:13" x14ac:dyDescent="0.2">
      <c r="C20" s="36" t="s">
        <v>110</v>
      </c>
      <c r="D20" s="36"/>
      <c r="E20" s="36" t="s">
        <v>111</v>
      </c>
      <c r="F20" s="69"/>
      <c r="G20" s="36" t="s">
        <v>112</v>
      </c>
      <c r="I20" s="36" t="s">
        <v>113</v>
      </c>
      <c r="K20" s="70" t="s">
        <v>114</v>
      </c>
      <c r="L20" s="70"/>
      <c r="M20" s="70">
        <v>14042</v>
      </c>
    </row>
    <row r="21" spans="1:13" ht="13.5" thickBot="1" x14ac:dyDescent="0.25">
      <c r="C21" s="71"/>
      <c r="D21" s="71"/>
      <c r="E21" s="71"/>
      <c r="F21" s="72"/>
    </row>
    <row r="22" spans="1:13" ht="15.75" thickBot="1" x14ac:dyDescent="0.4">
      <c r="B22" s="56" t="s">
        <v>52</v>
      </c>
      <c r="C22" s="73">
        <f>IF(AND($C$17&gt;A5,$C$17&lt;B5),$C$17,0)</f>
        <v>0</v>
      </c>
      <c r="D22" s="74"/>
      <c r="E22" s="73">
        <f>IF(AND($C$17&gt;A6,$C$17&lt;B6),$C$17,0)</f>
        <v>3029.6153846153848</v>
      </c>
      <c r="F22" s="75"/>
      <c r="G22" s="73">
        <f>IF(AND($C$17&gt;A7,$C$17&lt;B7),$C$17,0)</f>
        <v>0</v>
      </c>
      <c r="H22" s="21"/>
      <c r="I22" s="73">
        <f>IF(AND($C$17&gt;A8,$C$17&lt;B8),$C$17,0)</f>
        <v>0</v>
      </c>
      <c r="J22" s="21"/>
      <c r="K22" s="73">
        <f>IF(AND($C$17&gt;A9,$C$17&lt;B9),$C$17,0)</f>
        <v>0</v>
      </c>
      <c r="L22" s="76"/>
      <c r="M22" s="73">
        <f>IF(($C$17&gt;A10),$C$17,0)</f>
        <v>0</v>
      </c>
    </row>
    <row r="23" spans="1:13" ht="24" customHeight="1" x14ac:dyDescent="0.2">
      <c r="B23" s="56" t="s">
        <v>53</v>
      </c>
      <c r="C23" s="77">
        <f>A5</f>
        <v>332.69230769230768</v>
      </c>
      <c r="D23" s="78"/>
      <c r="E23" s="77">
        <f>B5</f>
        <v>1050</v>
      </c>
      <c r="F23" s="78"/>
      <c r="G23" s="79">
        <f>A7</f>
        <v>3251.9230769230771</v>
      </c>
      <c r="H23" s="21"/>
      <c r="I23" s="79">
        <f>A8</f>
        <v>6221.1538461538457</v>
      </c>
      <c r="J23" s="21"/>
      <c r="K23" s="79">
        <f>A9</f>
        <v>9307.6923076923085</v>
      </c>
      <c r="L23" s="80"/>
      <c r="M23" s="79">
        <f>A10</f>
        <v>16359.615384615385</v>
      </c>
    </row>
    <row r="24" spans="1:13" ht="19.5" customHeight="1" x14ac:dyDescent="0.2">
      <c r="B24" s="56" t="s">
        <v>54</v>
      </c>
      <c r="C24" s="81">
        <f>C22-C23</f>
        <v>-332.69230769230768</v>
      </c>
      <c r="D24" s="81"/>
      <c r="E24" s="81">
        <f>E22-E23</f>
        <v>1979.6153846153848</v>
      </c>
      <c r="F24" s="78"/>
      <c r="G24" s="81">
        <f>G22-G23</f>
        <v>-3251.9230769230771</v>
      </c>
      <c r="I24" s="81">
        <f>I22-I23</f>
        <v>-6221.1538461538457</v>
      </c>
      <c r="K24" s="81">
        <f>K22-K23</f>
        <v>-9307.6923076923085</v>
      </c>
      <c r="L24" s="81"/>
      <c r="M24" s="81">
        <f>M22-M23</f>
        <v>-16359.615384615385</v>
      </c>
    </row>
    <row r="25" spans="1:13" x14ac:dyDescent="0.2">
      <c r="B25" s="56" t="s">
        <v>55</v>
      </c>
      <c r="C25" s="82">
        <f>C24*E5</f>
        <v>-33.269230769230766</v>
      </c>
      <c r="D25" s="81"/>
      <c r="E25" s="82">
        <f>E24*E6</f>
        <v>296.94230769230768</v>
      </c>
      <c r="F25" s="78"/>
      <c r="G25" s="82">
        <f>G24*E7</f>
        <v>-812.98076923076928</v>
      </c>
      <c r="I25" s="82">
        <f>I24*E8</f>
        <v>-1741.9230769230769</v>
      </c>
      <c r="K25" s="82">
        <f>K24*E9</f>
        <v>-3071.5384615384619</v>
      </c>
      <c r="L25" s="78"/>
      <c r="M25" s="82">
        <f>M24*E10</f>
        <v>-5725.8653846153848</v>
      </c>
    </row>
    <row r="26" spans="1:13" x14ac:dyDescent="0.2">
      <c r="C26" s="21"/>
      <c r="D26" s="21"/>
      <c r="F26" s="80"/>
    </row>
    <row r="27" spans="1:13" x14ac:dyDescent="0.2">
      <c r="B27" s="56" t="s">
        <v>56</v>
      </c>
      <c r="C27" s="21">
        <v>0</v>
      </c>
      <c r="D27" s="21"/>
      <c r="E27" s="83">
        <f>C6</f>
        <v>71.730769230769226</v>
      </c>
      <c r="F27" s="80"/>
      <c r="G27" s="83">
        <f>C7</f>
        <v>402.01923076923077</v>
      </c>
      <c r="H27" s="21"/>
      <c r="I27" s="83">
        <f>C8</f>
        <v>1144.3269230769231</v>
      </c>
      <c r="J27" s="21"/>
      <c r="K27" s="83">
        <f>C9</f>
        <v>2008.5576923076924</v>
      </c>
      <c r="L27" s="21"/>
      <c r="M27" s="83">
        <f>C10</f>
        <v>4335.6923076923076</v>
      </c>
    </row>
    <row r="28" spans="1:13" ht="13.5" thickBot="1" x14ac:dyDescent="0.25">
      <c r="B28" s="56" t="str">
        <f>B25</f>
        <v>W/H on excess</v>
      </c>
      <c r="C28" s="80">
        <f>C25</f>
        <v>-33.269230769230766</v>
      </c>
      <c r="D28" s="21"/>
      <c r="E28" s="21">
        <f>E25</f>
        <v>296.94230769230768</v>
      </c>
      <c r="F28" s="80"/>
      <c r="G28" s="21">
        <f>G25</f>
        <v>-812.98076923076928</v>
      </c>
      <c r="I28" s="21">
        <f>I25</f>
        <v>-1741.9230769230769</v>
      </c>
      <c r="K28" s="21">
        <f>K25</f>
        <v>-3071.5384615384619</v>
      </c>
      <c r="L28" s="80"/>
      <c r="M28" s="21">
        <f>M25</f>
        <v>-5725.8653846153848</v>
      </c>
    </row>
    <row r="29" spans="1:13" ht="13.5" thickBot="1" x14ac:dyDescent="0.25">
      <c r="B29" s="56" t="s">
        <v>57</v>
      </c>
      <c r="C29" s="84">
        <f>SUM(C27:C28)</f>
        <v>-33.269230769230766</v>
      </c>
      <c r="D29" s="85"/>
      <c r="E29" s="86">
        <f>SUM(E27:E28)</f>
        <v>368.67307692307691</v>
      </c>
      <c r="F29" s="85"/>
      <c r="G29" s="86">
        <f>SUM(G27:G28)</f>
        <v>-410.96153846153851</v>
      </c>
      <c r="I29" s="86">
        <f>SUM(I27:I28)</f>
        <v>-597.59615384615381</v>
      </c>
      <c r="K29" s="86">
        <f>SUM(K27:K28)</f>
        <v>-1062.9807692307695</v>
      </c>
      <c r="L29" s="87"/>
      <c r="M29" s="86">
        <f>SUM(M27:M28)</f>
        <v>-1390.1730769230771</v>
      </c>
    </row>
    <row r="30" spans="1:13" x14ac:dyDescent="0.2">
      <c r="B30" s="56"/>
      <c r="F30" s="80"/>
    </row>
    <row r="31" spans="1:13" x14ac:dyDescent="0.2">
      <c r="B31" s="56" t="s">
        <v>58</v>
      </c>
      <c r="C31" s="63">
        <f>IF(C22=0, ,$C$13)</f>
        <v>0</v>
      </c>
      <c r="D31" s="63"/>
      <c r="E31" s="63">
        <f>IF(E22=0, ,$C$13)</f>
        <v>3846.1538461538462</v>
      </c>
      <c r="F31" s="80"/>
      <c r="G31" s="63">
        <f>IF(G22=0, ,$C$13)</f>
        <v>0</v>
      </c>
      <c r="I31" s="63">
        <f>IF(I22=0, ,$C$13)</f>
        <v>0</v>
      </c>
      <c r="K31" s="63">
        <f>IF(K22=0, ,$C$13)</f>
        <v>0</v>
      </c>
      <c r="L31" s="63"/>
      <c r="M31" s="63">
        <f>IF(M22=0, ,$C$13)</f>
        <v>0</v>
      </c>
    </row>
    <row r="32" spans="1:13" x14ac:dyDescent="0.2">
      <c r="B32" s="56" t="s">
        <v>59</v>
      </c>
      <c r="C32" s="63">
        <f>IF(C22=0,0,-C29)</f>
        <v>0</v>
      </c>
      <c r="D32" s="63"/>
      <c r="E32" s="63">
        <f>IF(E22=0,0,-E29)</f>
        <v>-368.67307692307691</v>
      </c>
      <c r="F32" s="88"/>
      <c r="G32" s="63">
        <f>IF(G22=0,0,-G29)</f>
        <v>0</v>
      </c>
      <c r="I32" s="63">
        <f>IF(I22=0,0,-I29)</f>
        <v>0</v>
      </c>
      <c r="K32" s="63">
        <f>IF(K22=0,0,-K29)</f>
        <v>0</v>
      </c>
      <c r="L32" s="63"/>
      <c r="M32" s="63">
        <f>IF(M22=0,0,-M29)</f>
        <v>0</v>
      </c>
    </row>
    <row r="33" spans="1:13" x14ac:dyDescent="0.2">
      <c r="B33" s="56" t="s">
        <v>60</v>
      </c>
      <c r="C33" s="63">
        <f>IF(OR($B$18="N",C22=0),0,($C$13-$M$13)*0.0765*-1)</f>
        <v>0</v>
      </c>
      <c r="D33" s="63"/>
      <c r="E33" s="63">
        <f>IF(OR($B$18="N",E22=0),0,($C$13-$M$13)*0.0765*-1)</f>
        <v>-272.81076923076921</v>
      </c>
      <c r="F33" s="88"/>
      <c r="G33" s="63">
        <f>IF(OR($B$18="N",G22=0),0,($C$13-$M$13)*0.0765*-1)</f>
        <v>0</v>
      </c>
      <c r="I33" s="63">
        <f>IF(OR($B$18="N",I22=0),0,($C$13-$M$13)*0.0765*-1)</f>
        <v>0</v>
      </c>
      <c r="K33" s="63">
        <f>IF(OR($B$18="N",K22=0),0,($C$13-$M$13)*0.0765*-1)</f>
        <v>0</v>
      </c>
      <c r="L33" s="63"/>
      <c r="M33" s="63">
        <f>IF(OR($B$18="N",M22=0),0,($C$13-$M$13)*0.0765*-1)</f>
        <v>0</v>
      </c>
    </row>
    <row r="34" spans="1:13" ht="13.5" thickBot="1" x14ac:dyDescent="0.25">
      <c r="B34" s="56" t="s">
        <v>15</v>
      </c>
      <c r="C34" s="63">
        <f>IF(C31&gt;0,-$B$16-$B$17,0)</f>
        <v>0</v>
      </c>
      <c r="D34" s="63"/>
      <c r="E34" s="63">
        <f>IF(E31&gt;0,-$B$16-$B$17,0)</f>
        <v>-730.76923076923072</v>
      </c>
      <c r="F34" s="88"/>
      <c r="G34" s="63">
        <f>IF(G31&gt;0,-$B$16-$B$17,0)</f>
        <v>0</v>
      </c>
      <c r="I34" s="63">
        <f>IF(I31&gt;0,-$B$16-$B$17,0)</f>
        <v>0</v>
      </c>
      <c r="K34" s="63">
        <f>IF(K31&gt;0,-$B$16-$B$17,0)</f>
        <v>0</v>
      </c>
      <c r="L34" s="63"/>
      <c r="M34" s="63">
        <f>IF(M31&gt;0,-$B$16-$B$17,0)</f>
        <v>0</v>
      </c>
    </row>
    <row r="35" spans="1:13" ht="13.5" thickBot="1" x14ac:dyDescent="0.25">
      <c r="B35" s="56" t="s">
        <v>13</v>
      </c>
      <c r="C35" s="86">
        <f>SUM(C31:C34)</f>
        <v>0</v>
      </c>
      <c r="D35" s="89"/>
      <c r="E35" s="86">
        <f>SUM(E31:E34)</f>
        <v>2473.9007692307696</v>
      </c>
      <c r="F35" s="89"/>
      <c r="G35" s="86">
        <f>SUM(G31:G34)</f>
        <v>0</v>
      </c>
      <c r="I35" s="86">
        <f>SUM(I31:I34)</f>
        <v>0</v>
      </c>
      <c r="K35" s="90">
        <f>SUM(K31:K34)</f>
        <v>0</v>
      </c>
      <c r="L35" s="87"/>
      <c r="M35" s="86">
        <f>SUM(M31:M34)</f>
        <v>0</v>
      </c>
    </row>
    <row r="36" spans="1:13" x14ac:dyDescent="0.2">
      <c r="A36" s="56"/>
      <c r="F36" s="80"/>
    </row>
    <row r="37" spans="1:13" x14ac:dyDescent="0.2">
      <c r="F37" s="80"/>
    </row>
    <row r="38" spans="1:13" x14ac:dyDescent="0.2">
      <c r="F38" s="80"/>
    </row>
    <row r="39" spans="1:13" x14ac:dyDescent="0.2">
      <c r="F39" s="80"/>
    </row>
    <row r="40" spans="1:13" x14ac:dyDescent="0.2">
      <c r="A40" s="20" t="s">
        <v>61</v>
      </c>
      <c r="B40" s="91">
        <v>90</v>
      </c>
      <c r="C40" s="63"/>
      <c r="D40" s="63"/>
      <c r="F40" s="88"/>
    </row>
    <row r="41" spans="1:13" x14ac:dyDescent="0.2">
      <c r="A41" s="20" t="s">
        <v>62</v>
      </c>
      <c r="B41" s="91">
        <v>25</v>
      </c>
      <c r="C41" s="63"/>
      <c r="D41" s="63"/>
      <c r="F41" s="88"/>
    </row>
    <row r="42" spans="1:13" x14ac:dyDescent="0.2">
      <c r="B42" s="91"/>
      <c r="C42" s="63"/>
      <c r="D42" s="63"/>
      <c r="F42" s="88"/>
    </row>
    <row r="43" spans="1:13" x14ac:dyDescent="0.2">
      <c r="A43" s="20" t="s">
        <v>63</v>
      </c>
      <c r="B43" s="91">
        <f>'M T Current'!$B$43</f>
        <v>4050</v>
      </c>
      <c r="F43" s="80"/>
    </row>
    <row r="44" spans="1:13" x14ac:dyDescent="0.2">
      <c r="A44" s="20" t="s">
        <v>64</v>
      </c>
      <c r="B44" s="92">
        <f>B43/26</f>
        <v>155.76923076923077</v>
      </c>
      <c r="F44" s="80"/>
    </row>
    <row r="45" spans="1:13" x14ac:dyDescent="0.2">
      <c r="B45" s="92"/>
      <c r="F45" s="80"/>
    </row>
    <row r="46" spans="1:13" x14ac:dyDescent="0.2">
      <c r="A46" s="20" t="s">
        <v>65</v>
      </c>
      <c r="B46" s="91">
        <f>'M T Current'!B46</f>
        <v>8650</v>
      </c>
      <c r="C46" s="91">
        <f>'M T Current'!C46</f>
        <v>27300</v>
      </c>
      <c r="D46" s="91">
        <f>'M T Current'!D46</f>
        <v>0</v>
      </c>
      <c r="E46" s="20" t="s">
        <v>34</v>
      </c>
      <c r="F46" s="93">
        <v>0.1</v>
      </c>
      <c r="G46" s="91">
        <f t="shared" ref="G46:G51" si="2">B46</f>
        <v>8650</v>
      </c>
    </row>
    <row r="47" spans="1:13" x14ac:dyDescent="0.2">
      <c r="B47" s="91">
        <f>'M T Current'!B47</f>
        <v>27300</v>
      </c>
      <c r="C47" s="91">
        <f>'M T Current'!C47</f>
        <v>84550</v>
      </c>
      <c r="D47" s="91">
        <f>'M T Current'!D47</f>
        <v>1865</v>
      </c>
      <c r="E47" s="20" t="s">
        <v>34</v>
      </c>
      <c r="F47" s="94">
        <v>0.15</v>
      </c>
      <c r="G47" s="91">
        <f t="shared" si="2"/>
        <v>27300</v>
      </c>
    </row>
    <row r="48" spans="1:13" x14ac:dyDescent="0.2">
      <c r="B48" s="91">
        <f>'M T Current'!B48</f>
        <v>84550</v>
      </c>
      <c r="C48" s="91">
        <f>'M T Current'!C48</f>
        <v>161750</v>
      </c>
      <c r="D48" s="91">
        <f>'M T Current'!D48</f>
        <v>10452.5</v>
      </c>
      <c r="E48" s="20" t="s">
        <v>34</v>
      </c>
      <c r="F48" s="94">
        <v>0.25</v>
      </c>
      <c r="G48" s="91">
        <f t="shared" si="2"/>
        <v>84550</v>
      </c>
    </row>
    <row r="49" spans="1:7" x14ac:dyDescent="0.2">
      <c r="B49" s="91">
        <f>'M T Current'!B49</f>
        <v>161750</v>
      </c>
      <c r="C49" s="91">
        <f>'M T Current'!C49</f>
        <v>242000</v>
      </c>
      <c r="D49" s="91">
        <f>'M T Current'!D49</f>
        <v>29752.5</v>
      </c>
      <c r="E49" s="20" t="s">
        <v>34</v>
      </c>
      <c r="F49" s="94">
        <v>0.28000000000000003</v>
      </c>
      <c r="G49" s="91">
        <f t="shared" si="2"/>
        <v>161750</v>
      </c>
    </row>
    <row r="50" spans="1:7" x14ac:dyDescent="0.2">
      <c r="B50" s="91">
        <f>'M T Current'!B50</f>
        <v>242000</v>
      </c>
      <c r="C50" s="91">
        <f>'M T Current'!C50</f>
        <v>425350</v>
      </c>
      <c r="D50" s="91">
        <f>'M T Current'!D50</f>
        <v>52222.5</v>
      </c>
      <c r="E50" s="20" t="s">
        <v>34</v>
      </c>
      <c r="F50" s="94">
        <v>0.33</v>
      </c>
      <c r="G50" s="91">
        <f t="shared" si="2"/>
        <v>242000</v>
      </c>
    </row>
    <row r="51" spans="1:7" x14ac:dyDescent="0.2">
      <c r="B51" s="91">
        <f>'M T Current'!B51</f>
        <v>425350</v>
      </c>
      <c r="C51" s="91">
        <f>'M T Current'!C51</f>
        <v>479350</v>
      </c>
      <c r="D51" s="91">
        <f>'M T Current'!D51</f>
        <v>112728</v>
      </c>
      <c r="E51" s="20" t="s">
        <v>34</v>
      </c>
      <c r="F51" s="94">
        <v>0.35</v>
      </c>
      <c r="G51" s="91">
        <f t="shared" si="2"/>
        <v>425350</v>
      </c>
    </row>
    <row r="52" spans="1:7" x14ac:dyDescent="0.2">
      <c r="F52" s="94"/>
    </row>
    <row r="53" spans="1:7" x14ac:dyDescent="0.2">
      <c r="A53" s="20" t="s">
        <v>104</v>
      </c>
      <c r="F53" s="80"/>
    </row>
    <row r="54" spans="1:7" x14ac:dyDescent="0.2">
      <c r="B54" s="91">
        <f>'M T Current'!B54</f>
        <v>332.69230769230768</v>
      </c>
      <c r="C54" s="91">
        <f>'M T Current'!C54</f>
        <v>1050</v>
      </c>
      <c r="D54" s="91">
        <f>'M T Current'!D54</f>
        <v>0</v>
      </c>
      <c r="E54" s="20" t="s">
        <v>34</v>
      </c>
      <c r="F54" s="93">
        <v>0.1</v>
      </c>
      <c r="G54" s="91">
        <f>G46/26</f>
        <v>332.69230769230768</v>
      </c>
    </row>
    <row r="55" spans="1:7" x14ac:dyDescent="0.2">
      <c r="B55" s="91">
        <f>'M T Current'!B55</f>
        <v>1050</v>
      </c>
      <c r="C55" s="91">
        <f>'M T Current'!C55</f>
        <v>3251.9230769230771</v>
      </c>
      <c r="D55" s="91">
        <f>'M T Current'!D55</f>
        <v>71.730769230769226</v>
      </c>
      <c r="E55" s="20" t="s">
        <v>34</v>
      </c>
      <c r="F55" s="94">
        <v>0.15</v>
      </c>
      <c r="G55" s="91">
        <f t="shared" ref="G55:G59" si="3">G47/26</f>
        <v>1050</v>
      </c>
    </row>
    <row r="56" spans="1:7" x14ac:dyDescent="0.2">
      <c r="B56" s="91">
        <f>'M T Current'!B56</f>
        <v>3251.9230769230771</v>
      </c>
      <c r="C56" s="91">
        <f>'M T Current'!C56</f>
        <v>6221.1538461538457</v>
      </c>
      <c r="D56" s="91">
        <f>'M T Current'!D56</f>
        <v>402.01923076923077</v>
      </c>
      <c r="E56" s="20" t="s">
        <v>34</v>
      </c>
      <c r="F56" s="94">
        <v>0.25</v>
      </c>
      <c r="G56" s="91">
        <f t="shared" si="3"/>
        <v>3251.9230769230771</v>
      </c>
    </row>
    <row r="57" spans="1:7" x14ac:dyDescent="0.2">
      <c r="B57" s="91">
        <f>'M T Current'!B57</f>
        <v>6221.1538461538457</v>
      </c>
      <c r="C57" s="91">
        <f>'M T Current'!C57</f>
        <v>9307.6923076923085</v>
      </c>
      <c r="D57" s="91">
        <f>'M T Current'!D57</f>
        <v>1144.3269230769231</v>
      </c>
      <c r="E57" s="20" t="s">
        <v>34</v>
      </c>
      <c r="F57" s="94">
        <v>0.28000000000000003</v>
      </c>
      <c r="G57" s="91">
        <f t="shared" si="3"/>
        <v>6221.1538461538457</v>
      </c>
    </row>
    <row r="58" spans="1:7" x14ac:dyDescent="0.2">
      <c r="B58" s="91">
        <f>'M T Current'!B58</f>
        <v>9307.6923076923085</v>
      </c>
      <c r="C58" s="91">
        <f>'M T Current'!C58</f>
        <v>16359.615384615385</v>
      </c>
      <c r="D58" s="91">
        <f>'M T Current'!D58</f>
        <v>2008.5576923076924</v>
      </c>
      <c r="E58" s="20" t="s">
        <v>34</v>
      </c>
      <c r="F58" s="94">
        <v>0.33</v>
      </c>
      <c r="G58" s="91">
        <f t="shared" si="3"/>
        <v>9307.6923076923085</v>
      </c>
    </row>
    <row r="59" spans="1:7" x14ac:dyDescent="0.2">
      <c r="B59" s="91">
        <f>'M T Current'!B59</f>
        <v>16359.615384615385</v>
      </c>
      <c r="C59" s="91">
        <f>'M T Current'!C59</f>
        <v>18436.538461538461</v>
      </c>
      <c r="D59" s="91">
        <f>'M T Current'!D59</f>
        <v>4335.6923076923076</v>
      </c>
      <c r="E59" s="20" t="s">
        <v>34</v>
      </c>
      <c r="F59" s="94">
        <v>0.35</v>
      </c>
      <c r="G59" s="91">
        <f t="shared" si="3"/>
        <v>16359.615384615385</v>
      </c>
    </row>
    <row r="60" spans="1:7" x14ac:dyDescent="0.2">
      <c r="F60" s="80"/>
    </row>
    <row r="61" spans="1:7" x14ac:dyDescent="0.2">
      <c r="A61" s="20" t="s">
        <v>66</v>
      </c>
      <c r="B61" s="91">
        <f>B43/27</f>
        <v>150</v>
      </c>
      <c r="F61" s="80"/>
    </row>
    <row r="62" spans="1:7" x14ac:dyDescent="0.2">
      <c r="F62" s="80"/>
    </row>
    <row r="63" spans="1:7" x14ac:dyDescent="0.2">
      <c r="F63" s="80"/>
    </row>
    <row r="64" spans="1:7" x14ac:dyDescent="0.2">
      <c r="F64" s="80"/>
    </row>
    <row r="65" spans="6:6" x14ac:dyDescent="0.2">
      <c r="F65" s="80"/>
    </row>
    <row r="66" spans="6:6" x14ac:dyDescent="0.2">
      <c r="F66" s="80"/>
    </row>
    <row r="67" spans="6:6" x14ac:dyDescent="0.2">
      <c r="F67" s="80"/>
    </row>
  </sheetData>
  <mergeCells count="1">
    <mergeCell ref="E4:F4"/>
  </mergeCells>
  <pageMargins left="0.25" right="0.25" top="1" bottom="1" header="0.5" footer="0.5"/>
  <pageSetup paperSize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C13" sqref="C13"/>
    </sheetView>
  </sheetViews>
  <sheetFormatPr defaultRowHeight="12.75" x14ac:dyDescent="0.2"/>
  <cols>
    <col min="1" max="1" width="22.7109375" style="20" customWidth="1"/>
    <col min="2" max="2" width="12.42578125" style="20" customWidth="1"/>
    <col min="3" max="3" width="12.28515625" style="20" customWidth="1"/>
    <col min="4" max="4" width="10.7109375" style="20" customWidth="1"/>
    <col min="5" max="5" width="12" style="20" bestFit="1" customWidth="1"/>
    <col min="6" max="6" width="10.7109375" style="21" customWidth="1"/>
    <col min="7" max="7" width="12" style="20" bestFit="1" customWidth="1"/>
    <col min="8" max="8" width="10.7109375" style="20" customWidth="1"/>
    <col min="9" max="9" width="12.7109375" style="20" bestFit="1" customWidth="1"/>
    <col min="10" max="10" width="10.7109375" style="20" customWidth="1"/>
    <col min="11" max="11" width="13" style="20" customWidth="1"/>
    <col min="12" max="13" width="10.7109375" style="20" customWidth="1"/>
    <col min="14" max="16384" width="9.140625" style="20"/>
  </cols>
  <sheetData>
    <row r="1" spans="1:13" ht="22.5" x14ac:dyDescent="0.3">
      <c r="A1" s="19" t="str">
        <f>'M T Current'!$A$1</f>
        <v>2017 Income Tax Withholding Payment Tables - MARIED persons</v>
      </c>
    </row>
    <row r="2" spans="1:13" ht="22.5" x14ac:dyDescent="0.3">
      <c r="A2" s="19"/>
    </row>
    <row r="3" spans="1:13" ht="13.5" thickBot="1" x14ac:dyDescent="0.25"/>
    <row r="4" spans="1:13" ht="14.25" x14ac:dyDescent="0.3">
      <c r="A4" s="22" t="s">
        <v>27</v>
      </c>
      <c r="B4" s="23"/>
      <c r="C4" s="24" t="s">
        <v>28</v>
      </c>
      <c r="D4" s="24"/>
      <c r="E4" s="125" t="s">
        <v>29</v>
      </c>
      <c r="F4" s="126"/>
      <c r="H4" s="25" t="s">
        <v>30</v>
      </c>
      <c r="I4" s="26"/>
      <c r="J4" s="26"/>
      <c r="K4" s="26"/>
      <c r="L4" s="26"/>
      <c r="M4" s="27"/>
    </row>
    <row r="5" spans="1:13" x14ac:dyDescent="0.2">
      <c r="A5" s="28">
        <f>B54</f>
        <v>332.69230769230768</v>
      </c>
      <c r="B5" s="29">
        <f>C54</f>
        <v>1050</v>
      </c>
      <c r="C5" s="29">
        <f>D54</f>
        <v>0</v>
      </c>
      <c r="D5" s="30"/>
      <c r="E5" s="31">
        <v>0.1</v>
      </c>
      <c r="F5" s="32">
        <f t="shared" ref="F5:F10" si="0">A5</f>
        <v>332.69230769230768</v>
      </c>
      <c r="H5" s="33"/>
      <c r="I5" s="34" t="s">
        <v>31</v>
      </c>
      <c r="J5" s="35" t="s">
        <v>32</v>
      </c>
      <c r="K5" s="36"/>
      <c r="L5" s="35" t="s">
        <v>33</v>
      </c>
      <c r="M5" s="37" t="s">
        <v>32</v>
      </c>
    </row>
    <row r="6" spans="1:13" x14ac:dyDescent="0.2">
      <c r="A6" s="38">
        <f t="shared" ref="A6:C10" si="1">B55</f>
        <v>1050</v>
      </c>
      <c r="B6" s="39">
        <f t="shared" si="1"/>
        <v>3251.9230769230771</v>
      </c>
      <c r="C6" s="39">
        <f t="shared" si="1"/>
        <v>71.730769230769226</v>
      </c>
      <c r="D6" s="40" t="s">
        <v>34</v>
      </c>
      <c r="E6" s="41">
        <v>0.15</v>
      </c>
      <c r="F6" s="42">
        <f t="shared" si="0"/>
        <v>1050</v>
      </c>
      <c r="H6" s="43">
        <v>1</v>
      </c>
      <c r="I6" s="20" t="s">
        <v>76</v>
      </c>
      <c r="J6" s="98">
        <f>'Estimated Net Pay Calculation'!$F$33*-1</f>
        <v>150</v>
      </c>
      <c r="K6" s="36"/>
      <c r="L6" s="20" t="s">
        <v>36</v>
      </c>
      <c r="M6" s="96">
        <f>'Estimated Net Pay Calculation'!$F$29*-1</f>
        <v>90</v>
      </c>
    </row>
    <row r="7" spans="1:13" x14ac:dyDescent="0.2">
      <c r="A7" s="28">
        <f t="shared" si="1"/>
        <v>3251.9230769230771</v>
      </c>
      <c r="B7" s="29">
        <f t="shared" si="1"/>
        <v>6221.1538461538457</v>
      </c>
      <c r="C7" s="29">
        <f t="shared" si="1"/>
        <v>402.01923076923077</v>
      </c>
      <c r="D7" s="44" t="s">
        <v>34</v>
      </c>
      <c r="E7" s="31">
        <v>0.25</v>
      </c>
      <c r="F7" s="32">
        <f t="shared" si="0"/>
        <v>3251.9230769230771</v>
      </c>
      <c r="H7" s="43">
        <v>2</v>
      </c>
      <c r="I7" s="45" t="s">
        <v>37</v>
      </c>
      <c r="J7" s="95">
        <f>'Estimated Net Pay Calculation'!$F$31*-1</f>
        <v>112.5</v>
      </c>
      <c r="K7" s="36"/>
      <c r="L7" s="20" t="s">
        <v>38</v>
      </c>
      <c r="M7" s="96">
        <f>'Estimated Net Pay Calculation'!$F$30*-1</f>
        <v>50</v>
      </c>
    </row>
    <row r="8" spans="1:13" x14ac:dyDescent="0.2">
      <c r="A8" s="38">
        <f t="shared" si="1"/>
        <v>6221.1538461538457</v>
      </c>
      <c r="B8" s="39">
        <f t="shared" si="1"/>
        <v>9307.6923076923085</v>
      </c>
      <c r="C8" s="39">
        <f t="shared" si="1"/>
        <v>1144.3269230769231</v>
      </c>
      <c r="D8" s="40" t="s">
        <v>34</v>
      </c>
      <c r="E8" s="41">
        <v>0.28000000000000003</v>
      </c>
      <c r="F8" s="42">
        <f t="shared" si="0"/>
        <v>6221.1538461538457</v>
      </c>
      <c r="H8" s="43">
        <v>3</v>
      </c>
      <c r="I8" s="20" t="s">
        <v>97</v>
      </c>
      <c r="J8" s="95">
        <f>'Estimated Net Pay Calculation'!$F$32*-1</f>
        <v>112.5</v>
      </c>
      <c r="K8" s="36"/>
      <c r="L8" s="45"/>
      <c r="M8" s="46"/>
    </row>
    <row r="9" spans="1:13" x14ac:dyDescent="0.2">
      <c r="A9" s="28">
        <f t="shared" si="1"/>
        <v>9307.6923076923085</v>
      </c>
      <c r="B9" s="29">
        <f t="shared" si="1"/>
        <v>16359.615384615385</v>
      </c>
      <c r="C9" s="29">
        <f t="shared" si="1"/>
        <v>2008.5576923076924</v>
      </c>
      <c r="D9" s="47" t="s">
        <v>34</v>
      </c>
      <c r="E9" s="48">
        <v>0.33</v>
      </c>
      <c r="F9" s="49">
        <f t="shared" si="0"/>
        <v>9307.6923076923085</v>
      </c>
      <c r="H9" s="43">
        <v>4</v>
      </c>
      <c r="J9" s="45"/>
      <c r="K9" s="36"/>
      <c r="L9" s="45"/>
      <c r="M9" s="46"/>
    </row>
    <row r="10" spans="1:13" ht="13.5" thickBot="1" x14ac:dyDescent="0.25">
      <c r="A10" s="50">
        <f t="shared" si="1"/>
        <v>16359.615384615385</v>
      </c>
      <c r="B10" s="51">
        <f t="shared" si="1"/>
        <v>18436.538461538461</v>
      </c>
      <c r="C10" s="51">
        <f t="shared" si="1"/>
        <v>4335.6923076923076</v>
      </c>
      <c r="D10" s="52" t="s">
        <v>34</v>
      </c>
      <c r="E10" s="53">
        <v>0.35</v>
      </c>
      <c r="F10" s="54">
        <f t="shared" si="0"/>
        <v>16359.615384615385</v>
      </c>
      <c r="H10" s="43">
        <v>5</v>
      </c>
      <c r="J10" s="45"/>
      <c r="K10" s="36"/>
      <c r="L10" s="45"/>
      <c r="M10" s="46"/>
    </row>
    <row r="11" spans="1:13" x14ac:dyDescent="0.2">
      <c r="H11" s="43">
        <v>6</v>
      </c>
      <c r="J11" s="45"/>
      <c r="K11" s="36"/>
      <c r="L11" s="45"/>
      <c r="M11" s="46"/>
    </row>
    <row r="12" spans="1:13" ht="13.5" thickBot="1" x14ac:dyDescent="0.25">
      <c r="C12" s="20">
        <v>26.1</v>
      </c>
      <c r="D12" s="20" t="s">
        <v>39</v>
      </c>
      <c r="H12" s="43">
        <v>7</v>
      </c>
      <c r="J12" s="55"/>
      <c r="K12" s="36"/>
      <c r="L12" s="45"/>
      <c r="M12" s="46"/>
    </row>
    <row r="13" spans="1:13" ht="13.5" thickBot="1" x14ac:dyDescent="0.25">
      <c r="A13" s="56" t="s">
        <v>40</v>
      </c>
      <c r="B13" s="57">
        <v>31000</v>
      </c>
      <c r="C13" s="21">
        <f>IF('Estimated Net Pay Calculation'!$B$22="M",'Estimated Net Pay Calculation'!$F$27,0)</f>
        <v>2884.6153846153848</v>
      </c>
      <c r="D13" s="20" t="s">
        <v>41</v>
      </c>
      <c r="H13" s="58" t="s">
        <v>42</v>
      </c>
      <c r="I13" s="59"/>
      <c r="J13" s="59">
        <f>SUM(J6:J12)</f>
        <v>375</v>
      </c>
      <c r="K13" s="59"/>
      <c r="L13" s="59"/>
      <c r="M13" s="60">
        <f>SUM(M6:M12)</f>
        <v>140</v>
      </c>
    </row>
    <row r="14" spans="1:13" ht="3" customHeight="1" thickBot="1" x14ac:dyDescent="0.25">
      <c r="A14" s="56"/>
      <c r="B14" s="61"/>
    </row>
    <row r="15" spans="1:13" ht="13.5" thickBot="1" x14ac:dyDescent="0.25">
      <c r="A15" s="56" t="s">
        <v>43</v>
      </c>
      <c r="B15" s="97">
        <f>'Estimated Net Pay Calculation'!$B$23</f>
        <v>1</v>
      </c>
      <c r="C15" s="21">
        <f>-(B44*B15)</f>
        <v>-155.76923076923077</v>
      </c>
      <c r="D15" s="20" t="s">
        <v>44</v>
      </c>
    </row>
    <row r="16" spans="1:13" ht="13.5" thickBot="1" x14ac:dyDescent="0.25">
      <c r="A16" s="20" t="s">
        <v>45</v>
      </c>
      <c r="B16" s="62">
        <f>J13+M13</f>
        <v>515</v>
      </c>
      <c r="C16" s="63">
        <f>-B16</f>
        <v>-515</v>
      </c>
    </row>
    <row r="17" spans="1:13" ht="13.5" thickBot="1" x14ac:dyDescent="0.25">
      <c r="A17" s="20" t="s">
        <v>46</v>
      </c>
      <c r="B17" s="99">
        <f>'Estimated Net Pay Calculation'!$F$34*-1</f>
        <v>70</v>
      </c>
      <c r="C17" s="64">
        <f>SUM(C13:C16)</f>
        <v>2213.8461538461538</v>
      </c>
      <c r="D17" s="65" t="s">
        <v>47</v>
      </c>
    </row>
    <row r="18" spans="1:13" x14ac:dyDescent="0.2">
      <c r="A18" s="66" t="s">
        <v>48</v>
      </c>
      <c r="B18" s="67" t="s">
        <v>49</v>
      </c>
    </row>
    <row r="19" spans="1:13" x14ac:dyDescent="0.2">
      <c r="C19" s="68" t="s">
        <v>50</v>
      </c>
      <c r="E19" s="68" t="s">
        <v>50</v>
      </c>
      <c r="G19" s="68" t="s">
        <v>50</v>
      </c>
      <c r="I19" s="68" t="s">
        <v>50</v>
      </c>
      <c r="K19" s="68" t="s">
        <v>50</v>
      </c>
      <c r="L19" s="36"/>
      <c r="M19" s="36" t="s">
        <v>51</v>
      </c>
    </row>
    <row r="20" spans="1:13" x14ac:dyDescent="0.2">
      <c r="C20" s="36" t="s">
        <v>110</v>
      </c>
      <c r="D20" s="36"/>
      <c r="E20" s="36" t="s">
        <v>111</v>
      </c>
      <c r="F20" s="69"/>
      <c r="G20" s="36" t="s">
        <v>112</v>
      </c>
      <c r="I20" s="36" t="s">
        <v>113</v>
      </c>
      <c r="K20" s="70" t="s">
        <v>114</v>
      </c>
      <c r="L20" s="70"/>
      <c r="M20" s="70">
        <v>14042</v>
      </c>
    </row>
    <row r="21" spans="1:13" ht="13.5" thickBot="1" x14ac:dyDescent="0.25">
      <c r="C21" s="71"/>
      <c r="D21" s="71"/>
      <c r="E21" s="71"/>
      <c r="F21" s="72"/>
    </row>
    <row r="22" spans="1:13" ht="15.75" thickBot="1" x14ac:dyDescent="0.4">
      <c r="B22" s="56" t="s">
        <v>52</v>
      </c>
      <c r="C22" s="73">
        <f>IF(AND($C$17&gt;A5,$C$17&lt;B5),$C$17,0)</f>
        <v>0</v>
      </c>
      <c r="D22" s="74"/>
      <c r="E22" s="73">
        <f>IF(AND($C$17&gt;A6,$C$17&lt;B6),$C$17,0)</f>
        <v>2213.8461538461538</v>
      </c>
      <c r="F22" s="75"/>
      <c r="G22" s="73">
        <f>IF(AND($C$17&gt;A7,$C$17&lt;B7),$C$17,0)</f>
        <v>0</v>
      </c>
      <c r="H22" s="21"/>
      <c r="I22" s="73">
        <f>IF(AND($C$17&gt;A8,$C$17&lt;B8),$C$17,0)</f>
        <v>0</v>
      </c>
      <c r="J22" s="21"/>
      <c r="K22" s="73">
        <f>IF(AND($C$17&gt;A9,$C$17&lt;B9),$C$17,0)</f>
        <v>0</v>
      </c>
      <c r="L22" s="76"/>
      <c r="M22" s="73">
        <f>IF(($C$17&gt;A10),$C$17,0)</f>
        <v>0</v>
      </c>
    </row>
    <row r="23" spans="1:13" ht="24" customHeight="1" x14ac:dyDescent="0.2">
      <c r="B23" s="56" t="s">
        <v>53</v>
      </c>
      <c r="C23" s="77">
        <f>A5</f>
        <v>332.69230769230768</v>
      </c>
      <c r="D23" s="78"/>
      <c r="E23" s="77">
        <f>B5</f>
        <v>1050</v>
      </c>
      <c r="F23" s="78"/>
      <c r="G23" s="79">
        <f>A7</f>
        <v>3251.9230769230771</v>
      </c>
      <c r="H23" s="21"/>
      <c r="I23" s="79">
        <f>A8</f>
        <v>6221.1538461538457</v>
      </c>
      <c r="J23" s="21"/>
      <c r="K23" s="79">
        <f>A9</f>
        <v>9307.6923076923085</v>
      </c>
      <c r="L23" s="80"/>
      <c r="M23" s="79">
        <f>A10</f>
        <v>16359.615384615385</v>
      </c>
    </row>
    <row r="24" spans="1:13" ht="19.5" customHeight="1" x14ac:dyDescent="0.2">
      <c r="B24" s="56" t="s">
        <v>54</v>
      </c>
      <c r="C24" s="81">
        <f>C22-C23</f>
        <v>-332.69230769230768</v>
      </c>
      <c r="D24" s="81"/>
      <c r="E24" s="81">
        <f>E22-E23</f>
        <v>1163.8461538461538</v>
      </c>
      <c r="F24" s="78"/>
      <c r="G24" s="81">
        <f>G22-G23</f>
        <v>-3251.9230769230771</v>
      </c>
      <c r="I24" s="81">
        <f>I22-I23</f>
        <v>-6221.1538461538457</v>
      </c>
      <c r="K24" s="81">
        <f>K22-K23</f>
        <v>-9307.6923076923085</v>
      </c>
      <c r="L24" s="81"/>
      <c r="M24" s="81">
        <f>M22-M23</f>
        <v>-16359.615384615385</v>
      </c>
    </row>
    <row r="25" spans="1:13" x14ac:dyDescent="0.2">
      <c r="B25" s="56" t="s">
        <v>55</v>
      </c>
      <c r="C25" s="82">
        <f>C24*E5</f>
        <v>-33.269230769230766</v>
      </c>
      <c r="D25" s="81"/>
      <c r="E25" s="82">
        <f>E24*E6</f>
        <v>174.57692307692307</v>
      </c>
      <c r="F25" s="78"/>
      <c r="G25" s="82">
        <f>G24*E7</f>
        <v>-812.98076923076928</v>
      </c>
      <c r="I25" s="82">
        <f>I24*E8</f>
        <v>-1741.9230769230769</v>
      </c>
      <c r="K25" s="82">
        <f>K24*E9</f>
        <v>-3071.5384615384619</v>
      </c>
      <c r="L25" s="78"/>
      <c r="M25" s="82">
        <f>M24*E10</f>
        <v>-5725.8653846153848</v>
      </c>
    </row>
    <row r="26" spans="1:13" x14ac:dyDescent="0.2">
      <c r="C26" s="21"/>
      <c r="D26" s="21"/>
      <c r="F26" s="80"/>
    </row>
    <row r="27" spans="1:13" x14ac:dyDescent="0.2">
      <c r="B27" s="56" t="s">
        <v>56</v>
      </c>
      <c r="C27" s="21">
        <v>0</v>
      </c>
      <c r="D27" s="21"/>
      <c r="E27" s="83">
        <f>C6</f>
        <v>71.730769230769226</v>
      </c>
      <c r="F27" s="80"/>
      <c r="G27" s="83">
        <f>C7</f>
        <v>402.01923076923077</v>
      </c>
      <c r="H27" s="21"/>
      <c r="I27" s="83">
        <f>C8</f>
        <v>1144.3269230769231</v>
      </c>
      <c r="J27" s="21"/>
      <c r="K27" s="83">
        <f>C9</f>
        <v>2008.5576923076924</v>
      </c>
      <c r="L27" s="21"/>
      <c r="M27" s="83">
        <f>C10</f>
        <v>4335.6923076923076</v>
      </c>
    </row>
    <row r="28" spans="1:13" ht="13.5" thickBot="1" x14ac:dyDescent="0.25">
      <c r="B28" s="56" t="str">
        <f>B25</f>
        <v>W/H on excess</v>
      </c>
      <c r="C28" s="80">
        <f>C25</f>
        <v>-33.269230769230766</v>
      </c>
      <c r="D28" s="21"/>
      <c r="E28" s="21">
        <f>E25</f>
        <v>174.57692307692307</v>
      </c>
      <c r="F28" s="80"/>
      <c r="G28" s="21">
        <f>G25</f>
        <v>-812.98076923076928</v>
      </c>
      <c r="I28" s="21">
        <f>I25</f>
        <v>-1741.9230769230769</v>
      </c>
      <c r="K28" s="21">
        <f>K25</f>
        <v>-3071.5384615384619</v>
      </c>
      <c r="L28" s="80"/>
      <c r="M28" s="21">
        <f>M25</f>
        <v>-5725.8653846153848</v>
      </c>
    </row>
    <row r="29" spans="1:13" ht="13.5" thickBot="1" x14ac:dyDescent="0.25">
      <c r="B29" s="56" t="s">
        <v>57</v>
      </c>
      <c r="C29" s="84">
        <f>SUM(C27:C28)</f>
        <v>-33.269230769230766</v>
      </c>
      <c r="D29" s="85"/>
      <c r="E29" s="86">
        <f>SUM(E27:E28)</f>
        <v>246.30769230769229</v>
      </c>
      <c r="F29" s="85"/>
      <c r="G29" s="86">
        <f>SUM(G27:G28)</f>
        <v>-410.96153846153851</v>
      </c>
      <c r="I29" s="86">
        <f>SUM(I27:I28)</f>
        <v>-597.59615384615381</v>
      </c>
      <c r="K29" s="86">
        <f>SUM(K27:K28)</f>
        <v>-1062.9807692307695</v>
      </c>
      <c r="L29" s="87"/>
      <c r="M29" s="86">
        <f>SUM(M27:M28)</f>
        <v>-1390.1730769230771</v>
      </c>
    </row>
    <row r="30" spans="1:13" x14ac:dyDescent="0.2">
      <c r="B30" s="56"/>
      <c r="F30" s="80"/>
    </row>
    <row r="31" spans="1:13" x14ac:dyDescent="0.2">
      <c r="B31" s="56" t="s">
        <v>58</v>
      </c>
      <c r="C31" s="63">
        <f>IF(C22=0, ,$C$13)</f>
        <v>0</v>
      </c>
      <c r="D31" s="63"/>
      <c r="E31" s="63">
        <f>IF(E22=0, ,$C$13)</f>
        <v>2884.6153846153848</v>
      </c>
      <c r="F31" s="80"/>
      <c r="G31" s="63">
        <f>IF(G22=0, ,$C$13)</f>
        <v>0</v>
      </c>
      <c r="I31" s="63">
        <f>IF(I22=0, ,$C$13)</f>
        <v>0</v>
      </c>
      <c r="K31" s="63">
        <f>IF(K22=0, ,$C$13)</f>
        <v>0</v>
      </c>
      <c r="L31" s="63"/>
      <c r="M31" s="63">
        <f>IF(M22=0, ,$C$13)</f>
        <v>0</v>
      </c>
    </row>
    <row r="32" spans="1:13" x14ac:dyDescent="0.2">
      <c r="B32" s="56" t="s">
        <v>59</v>
      </c>
      <c r="C32" s="63">
        <f>IF(C22=0,0,-C29)</f>
        <v>0</v>
      </c>
      <c r="D32" s="63"/>
      <c r="E32" s="63">
        <f>IF(E22=0,0,-E29)</f>
        <v>-246.30769230769229</v>
      </c>
      <c r="F32" s="88"/>
      <c r="G32" s="63">
        <f>IF(G22=0,0,-G29)</f>
        <v>0</v>
      </c>
      <c r="I32" s="63">
        <f>IF(I22=0,0,-I29)</f>
        <v>0</v>
      </c>
      <c r="K32" s="63">
        <f>IF(K22=0,0,-K29)</f>
        <v>0</v>
      </c>
      <c r="L32" s="63"/>
      <c r="M32" s="63">
        <f>IF(M22=0,0,-M29)</f>
        <v>0</v>
      </c>
    </row>
    <row r="33" spans="1:13" x14ac:dyDescent="0.2">
      <c r="B33" s="56" t="s">
        <v>60</v>
      </c>
      <c r="C33" s="63">
        <f>IF(OR($B$18="N",C22=0),0,($C$13-$M$13)*0.0765*-1)</f>
        <v>0</v>
      </c>
      <c r="D33" s="63"/>
      <c r="E33" s="63">
        <f>IF(OR($B$18="N",E22=0),0,($C$13-$M$13)*0.0765*-1)</f>
        <v>-209.96307692307693</v>
      </c>
      <c r="F33" s="88"/>
      <c r="G33" s="63">
        <f>IF(OR($B$18="N",G22=0),0,($C$13-$M$13)*0.0765*-1)</f>
        <v>0</v>
      </c>
      <c r="I33" s="63">
        <f>IF(OR($B$18="N",I22=0),0,($C$13-$M$13)*0.0765*-1)</f>
        <v>0</v>
      </c>
      <c r="K33" s="63">
        <f>IF(OR($B$18="N",K22=0),0,($C$13-$M$13)*0.0765*-1)</f>
        <v>0</v>
      </c>
      <c r="L33" s="63"/>
      <c r="M33" s="63">
        <f>IF(OR($B$18="N",M22=0),0,($C$13-$M$13)*0.0765*-1)</f>
        <v>0</v>
      </c>
    </row>
    <row r="34" spans="1:13" ht="13.5" thickBot="1" x14ac:dyDescent="0.25">
      <c r="B34" s="56" t="s">
        <v>15</v>
      </c>
      <c r="C34" s="63">
        <f>IF(C31&gt;0,-$B$16-$B$17,0)</f>
        <v>0</v>
      </c>
      <c r="D34" s="63"/>
      <c r="E34" s="63">
        <f>IF(E31&gt;0,-$B$16-$B$17,0)</f>
        <v>-585</v>
      </c>
      <c r="F34" s="88"/>
      <c r="G34" s="63">
        <f>IF(G31&gt;0,-$B$16-$B$17,0)</f>
        <v>0</v>
      </c>
      <c r="I34" s="63">
        <f>IF(I31&gt;0,-$B$16-$B$17,0)</f>
        <v>0</v>
      </c>
      <c r="K34" s="63">
        <f>IF(K31&gt;0,-$B$16-$B$17,0)</f>
        <v>0</v>
      </c>
      <c r="L34" s="63"/>
      <c r="M34" s="63">
        <f>IF(M31&gt;0,-$B$16-$B$17,0)</f>
        <v>0</v>
      </c>
    </row>
    <row r="35" spans="1:13" ht="13.5" thickBot="1" x14ac:dyDescent="0.25">
      <c r="B35" s="56" t="s">
        <v>13</v>
      </c>
      <c r="C35" s="86">
        <f>SUM(C31:C34)</f>
        <v>0</v>
      </c>
      <c r="D35" s="89"/>
      <c r="E35" s="86">
        <f>SUM(E31:E34)</f>
        <v>1843.3446153846153</v>
      </c>
      <c r="F35" s="89"/>
      <c r="G35" s="86">
        <f>SUM(G31:G34)</f>
        <v>0</v>
      </c>
      <c r="I35" s="86">
        <f>SUM(I31:I34)</f>
        <v>0</v>
      </c>
      <c r="K35" s="90">
        <f>SUM(K31:K34)</f>
        <v>0</v>
      </c>
      <c r="L35" s="87"/>
      <c r="M35" s="86">
        <f>SUM(M31:M34)</f>
        <v>0</v>
      </c>
    </row>
    <row r="36" spans="1:13" x14ac:dyDescent="0.2">
      <c r="A36" s="56"/>
      <c r="F36" s="80"/>
    </row>
    <row r="37" spans="1:13" x14ac:dyDescent="0.2">
      <c r="F37" s="80"/>
    </row>
    <row r="38" spans="1:13" x14ac:dyDescent="0.2">
      <c r="F38" s="80"/>
    </row>
    <row r="39" spans="1:13" x14ac:dyDescent="0.2">
      <c r="F39" s="80"/>
    </row>
    <row r="40" spans="1:13" x14ac:dyDescent="0.2">
      <c r="A40" s="20" t="s">
        <v>61</v>
      </c>
      <c r="B40" s="91">
        <v>90</v>
      </c>
      <c r="C40" s="63"/>
      <c r="D40" s="63"/>
      <c r="F40" s="88"/>
    </row>
    <row r="41" spans="1:13" x14ac:dyDescent="0.2">
      <c r="A41" s="20" t="s">
        <v>62</v>
      </c>
      <c r="B41" s="91">
        <v>25</v>
      </c>
      <c r="C41" s="63"/>
      <c r="D41" s="63"/>
      <c r="F41" s="88"/>
    </row>
    <row r="42" spans="1:13" x14ac:dyDescent="0.2">
      <c r="B42" s="91"/>
      <c r="C42" s="63"/>
      <c r="D42" s="63"/>
      <c r="F42" s="88"/>
    </row>
    <row r="43" spans="1:13" x14ac:dyDescent="0.2">
      <c r="A43" s="20" t="s">
        <v>63</v>
      </c>
      <c r="B43" s="91">
        <f>'M T Current'!$B$43</f>
        <v>4050</v>
      </c>
      <c r="F43" s="80"/>
    </row>
    <row r="44" spans="1:13" x14ac:dyDescent="0.2">
      <c r="A44" s="20" t="s">
        <v>64</v>
      </c>
      <c r="B44" s="92">
        <f>B43/26</f>
        <v>155.76923076923077</v>
      </c>
      <c r="F44" s="80"/>
    </row>
    <row r="45" spans="1:13" x14ac:dyDescent="0.2">
      <c r="B45" s="92"/>
      <c r="F45" s="80"/>
    </row>
    <row r="46" spans="1:13" x14ac:dyDescent="0.2">
      <c r="A46" s="20" t="s">
        <v>65</v>
      </c>
      <c r="B46" s="91">
        <f>'M T Current'!B46</f>
        <v>8650</v>
      </c>
      <c r="C46" s="91">
        <f>'M T Current'!C46</f>
        <v>27300</v>
      </c>
      <c r="D46" s="91">
        <f>'M T Current'!D46</f>
        <v>0</v>
      </c>
      <c r="E46" s="20" t="s">
        <v>34</v>
      </c>
      <c r="F46" s="93">
        <v>0.1</v>
      </c>
      <c r="G46" s="91">
        <f t="shared" ref="G46:G51" si="2">B46</f>
        <v>8650</v>
      </c>
    </row>
    <row r="47" spans="1:13" x14ac:dyDescent="0.2">
      <c r="B47" s="91">
        <f>'M T Current'!B47</f>
        <v>27300</v>
      </c>
      <c r="C47" s="91">
        <f>'M T Current'!C47</f>
        <v>84550</v>
      </c>
      <c r="D47" s="91">
        <f>'M T Current'!D47</f>
        <v>1865</v>
      </c>
      <c r="E47" s="20" t="s">
        <v>34</v>
      </c>
      <c r="F47" s="94">
        <v>0.15</v>
      </c>
      <c r="G47" s="91">
        <f t="shared" si="2"/>
        <v>27300</v>
      </c>
    </row>
    <row r="48" spans="1:13" x14ac:dyDescent="0.2">
      <c r="B48" s="91">
        <f>'M T Current'!B48</f>
        <v>84550</v>
      </c>
      <c r="C48" s="91">
        <f>'M T Current'!C48</f>
        <v>161750</v>
      </c>
      <c r="D48" s="91">
        <f>'M T Current'!D48</f>
        <v>10452.5</v>
      </c>
      <c r="E48" s="20" t="s">
        <v>34</v>
      </c>
      <c r="F48" s="94">
        <v>0.25</v>
      </c>
      <c r="G48" s="91">
        <f t="shared" si="2"/>
        <v>84550</v>
      </c>
    </row>
    <row r="49" spans="1:7" x14ac:dyDescent="0.2">
      <c r="B49" s="91">
        <f>'M T Current'!B49</f>
        <v>161750</v>
      </c>
      <c r="C49" s="91">
        <f>'M T Current'!C49</f>
        <v>242000</v>
      </c>
      <c r="D49" s="91">
        <f>'M T Current'!D49</f>
        <v>29752.5</v>
      </c>
      <c r="E49" s="20" t="s">
        <v>34</v>
      </c>
      <c r="F49" s="94">
        <v>0.28000000000000003</v>
      </c>
      <c r="G49" s="91">
        <f t="shared" si="2"/>
        <v>161750</v>
      </c>
    </row>
    <row r="50" spans="1:7" x14ac:dyDescent="0.2">
      <c r="B50" s="91">
        <f>'M T Current'!B50</f>
        <v>242000</v>
      </c>
      <c r="C50" s="91">
        <f>'M T Current'!C50</f>
        <v>425350</v>
      </c>
      <c r="D50" s="91">
        <f>'M T Current'!D50</f>
        <v>52222.5</v>
      </c>
      <c r="E50" s="20" t="s">
        <v>34</v>
      </c>
      <c r="F50" s="94">
        <v>0.33</v>
      </c>
      <c r="G50" s="91">
        <f t="shared" si="2"/>
        <v>242000</v>
      </c>
    </row>
    <row r="51" spans="1:7" x14ac:dyDescent="0.2">
      <c r="B51" s="91">
        <f>'M T Current'!B51</f>
        <v>425350</v>
      </c>
      <c r="C51" s="91">
        <f>'M T Current'!C51</f>
        <v>479350</v>
      </c>
      <c r="D51" s="91">
        <f>'M T Current'!D51</f>
        <v>112728</v>
      </c>
      <c r="E51" s="20" t="s">
        <v>34</v>
      </c>
      <c r="F51" s="94">
        <v>0.35</v>
      </c>
      <c r="G51" s="91">
        <f t="shared" si="2"/>
        <v>425350</v>
      </c>
    </row>
    <row r="52" spans="1:7" x14ac:dyDescent="0.2">
      <c r="F52" s="94"/>
    </row>
    <row r="53" spans="1:7" x14ac:dyDescent="0.2">
      <c r="A53" s="20" t="s">
        <v>104</v>
      </c>
      <c r="F53" s="80"/>
    </row>
    <row r="54" spans="1:7" x14ac:dyDescent="0.2">
      <c r="B54" s="91">
        <f>'M T Current'!B54</f>
        <v>332.69230769230768</v>
      </c>
      <c r="C54" s="91">
        <f>'M T Current'!C54</f>
        <v>1050</v>
      </c>
      <c r="D54" s="91">
        <f>'M T Current'!D54</f>
        <v>0</v>
      </c>
      <c r="E54" s="20" t="s">
        <v>34</v>
      </c>
      <c r="F54" s="93">
        <v>0.1</v>
      </c>
      <c r="G54" s="91">
        <f>G46/26</f>
        <v>332.69230769230768</v>
      </c>
    </row>
    <row r="55" spans="1:7" x14ac:dyDescent="0.2">
      <c r="B55" s="91">
        <f>'M T Current'!B55</f>
        <v>1050</v>
      </c>
      <c r="C55" s="91">
        <f>'M T Current'!C55</f>
        <v>3251.9230769230771</v>
      </c>
      <c r="D55" s="91">
        <f>'M T Current'!D55</f>
        <v>71.730769230769226</v>
      </c>
      <c r="E55" s="20" t="s">
        <v>34</v>
      </c>
      <c r="F55" s="94">
        <v>0.15</v>
      </c>
      <c r="G55" s="91">
        <f t="shared" ref="G55:G59" si="3">G47/26</f>
        <v>1050</v>
      </c>
    </row>
    <row r="56" spans="1:7" x14ac:dyDescent="0.2">
      <c r="B56" s="91">
        <f>'M T Current'!B56</f>
        <v>3251.9230769230771</v>
      </c>
      <c r="C56" s="91">
        <f>'M T Current'!C56</f>
        <v>6221.1538461538457</v>
      </c>
      <c r="D56" s="91">
        <f>'M T Current'!D56</f>
        <v>402.01923076923077</v>
      </c>
      <c r="E56" s="20" t="s">
        <v>34</v>
      </c>
      <c r="F56" s="94">
        <v>0.25</v>
      </c>
      <c r="G56" s="91">
        <f t="shared" si="3"/>
        <v>3251.9230769230771</v>
      </c>
    </row>
    <row r="57" spans="1:7" x14ac:dyDescent="0.2">
      <c r="B57" s="91">
        <f>'M T Current'!B57</f>
        <v>6221.1538461538457</v>
      </c>
      <c r="C57" s="91">
        <f>'M T Current'!C57</f>
        <v>9307.6923076923085</v>
      </c>
      <c r="D57" s="91">
        <f>'M T Current'!D57</f>
        <v>1144.3269230769231</v>
      </c>
      <c r="E57" s="20" t="s">
        <v>34</v>
      </c>
      <c r="F57" s="94">
        <v>0.28000000000000003</v>
      </c>
      <c r="G57" s="91">
        <f t="shared" si="3"/>
        <v>6221.1538461538457</v>
      </c>
    </row>
    <row r="58" spans="1:7" x14ac:dyDescent="0.2">
      <c r="B58" s="91">
        <f>'M T Current'!B58</f>
        <v>9307.6923076923085</v>
      </c>
      <c r="C58" s="91">
        <f>'M T Current'!C58</f>
        <v>16359.615384615385</v>
      </c>
      <c r="D58" s="91">
        <f>'M T Current'!D58</f>
        <v>2008.5576923076924</v>
      </c>
      <c r="E58" s="20" t="s">
        <v>34</v>
      </c>
      <c r="F58" s="94">
        <v>0.33</v>
      </c>
      <c r="G58" s="91">
        <f t="shared" si="3"/>
        <v>9307.6923076923085</v>
      </c>
    </row>
    <row r="59" spans="1:7" x14ac:dyDescent="0.2">
      <c r="B59" s="91">
        <f>'M T Current'!B59</f>
        <v>16359.615384615385</v>
      </c>
      <c r="C59" s="91">
        <f>'M T Current'!C59</f>
        <v>18436.538461538461</v>
      </c>
      <c r="D59" s="91">
        <f>'M T Current'!D59</f>
        <v>4335.6923076923076</v>
      </c>
      <c r="E59" s="20" t="s">
        <v>34</v>
      </c>
      <c r="F59" s="94">
        <v>0.35</v>
      </c>
      <c r="G59" s="91">
        <f t="shared" si="3"/>
        <v>16359.615384615385</v>
      </c>
    </row>
    <row r="60" spans="1:7" x14ac:dyDescent="0.2">
      <c r="F60" s="80"/>
    </row>
    <row r="61" spans="1:7" x14ac:dyDescent="0.2">
      <c r="A61" s="20" t="s">
        <v>66</v>
      </c>
      <c r="B61" s="91">
        <f>B43/27</f>
        <v>150</v>
      </c>
      <c r="F61" s="80"/>
    </row>
    <row r="62" spans="1:7" x14ac:dyDescent="0.2">
      <c r="F62" s="80"/>
    </row>
    <row r="63" spans="1:7" x14ac:dyDescent="0.2">
      <c r="F63" s="80"/>
    </row>
    <row r="64" spans="1:7" x14ac:dyDescent="0.2">
      <c r="F64" s="80"/>
    </row>
    <row r="65" spans="6:6" x14ac:dyDescent="0.2">
      <c r="F65" s="80"/>
    </row>
    <row r="66" spans="6:6" x14ac:dyDescent="0.2">
      <c r="F66" s="80"/>
    </row>
    <row r="67" spans="6:6" x14ac:dyDescent="0.2">
      <c r="F67" s="80"/>
    </row>
  </sheetData>
  <mergeCells count="1">
    <mergeCell ref="E4:F4"/>
  </mergeCells>
  <pageMargins left="0.25" right="0.25" top="1" bottom="1" header="0.5" footer="0.5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Deferred Pay Calc</vt:lpstr>
      <vt:lpstr>Estimated Net Pay Calculation</vt:lpstr>
      <vt:lpstr>S T Current</vt:lpstr>
      <vt:lpstr>S T Current DBL</vt:lpstr>
      <vt:lpstr>S T DP Acc</vt:lpstr>
      <vt:lpstr>S T DP Out</vt:lpstr>
      <vt:lpstr>M T Current</vt:lpstr>
      <vt:lpstr>M T Current DBL</vt:lpstr>
      <vt:lpstr>M T DP Acc</vt:lpstr>
      <vt:lpstr>M T DP Out</vt:lpstr>
      <vt:lpstr>M T Current 2</vt:lpstr>
      <vt:lpstr>'M T Current'!Print_Area</vt:lpstr>
      <vt:lpstr>'M T Current 2'!Print_Area</vt:lpstr>
      <vt:lpstr>'M T Current DBL'!Print_Area</vt:lpstr>
      <vt:lpstr>'M T DP Acc'!Print_Area</vt:lpstr>
      <vt:lpstr>'M T DP Out'!Print_Area</vt:lpstr>
      <vt:lpstr>'S T Current'!Print_Area</vt:lpstr>
      <vt:lpstr>'S T Current DBL'!Print_Area</vt:lpstr>
      <vt:lpstr>'S T DP Acc'!Print_Area</vt:lpstr>
      <vt:lpstr>'S T DP Out'!Print_Area</vt:lpstr>
    </vt:vector>
  </TitlesOfParts>
  <Company>University of West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Pollard</dc:creator>
  <cp:lastModifiedBy>Mandy Redfearn</cp:lastModifiedBy>
  <cp:lastPrinted>2015-02-20T15:54:06Z</cp:lastPrinted>
  <dcterms:created xsi:type="dcterms:W3CDTF">2009-04-27T13:09:58Z</dcterms:created>
  <dcterms:modified xsi:type="dcterms:W3CDTF">2017-03-06T15:30:43Z</dcterms:modified>
</cp:coreProperties>
</file>